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ctrlProps/ctrlProp18.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ctrlProps/ctrlProp16.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ctrlProps/ctrlProp21.xml" ContentType="application/vnd.ms-excel.controlproperties+xml"/>
  <Override PartName="/xl/ctrlProps/ctrlProp6.xml" ContentType="application/vnd.ms-excel.controlproperties+xml"/>
  <Override PartName="/xl/ctrlProps/ctrlProp12.xml" ContentType="application/vnd.ms-excel.controlproperties+xml"/>
  <Override PartName="/xl/worksheets/sheet29.xml" ContentType="application/vnd.openxmlformats-officedocument.spreadsheetml.worksheet+xml"/>
  <Override PartName="/xl/sharedStrings.xml" ContentType="application/vnd.openxmlformats-officedocument.spreadsheetml.sharedStrings+xml"/>
  <Override PartName="/xl/ctrlProps/ctrlProp4.xml" ContentType="application/vnd.ms-excel.controlproperties+xml"/>
  <Override PartName="/xl/ctrlProps/ctrlProp10.xml" ContentType="application/vnd.ms-excel.controlpropertie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ctrlProps/ctrlProp2.xml" ContentType="application/vnd.ms-excel.contro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ctrlProps/ctrlProp22.xml" ContentType="application/vnd.ms-excel.controlproperties+xml"/>
  <Override PartName="/xl/ctrlProps/ctrlProp7.xml" ContentType="application/vnd.ms-excel.controlproperties+xml"/>
  <Override PartName="/xl/ctrlProps/ctrlProp13.xml" ContentType="application/vnd.ms-excel.controlproperties+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ctrlProps/ctrlProp20.xml" ContentType="application/vnd.ms-excel.controlproperties+xml"/>
  <Override PartName="/xl/ctrlProps/ctrlProp5.xml" ContentType="application/vnd.ms-excel.controlproperties+xml"/>
  <Override PartName="/xl/ctrlProps/ctrlProp11.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codeName="ThisWorkbook"/>
  <bookViews>
    <workbookView xWindow="0" yWindow="0" windowWidth="15480" windowHeight="7905" tabRatio="887" firstSheet="18" activeTab="36"/>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r:id="rId8"/>
    <sheet name="Banks" sheetId="4" r:id="rId9"/>
    <sheet name="OtherIND" sheetId="5" r:id="rId10"/>
    <sheet name="Individuals" sheetId="6" r:id="rId11"/>
    <sheet name="Government" sheetId="10" r:id="rId12"/>
    <sheet name="Institutions" sheetId="11" r:id="rId13"/>
    <sheet name="FPIPromoter" sheetId="14" r:id="rId14"/>
    <sheet name="OtherForeign" sheetId="15" r:id="rId15"/>
    <sheet name="MutuaFund" sheetId="16" r:id="rId16"/>
    <sheet name="VentureCap" sheetId="17" r:id="rId17"/>
    <sheet name="AIF" sheetId="18" r:id="rId18"/>
    <sheet name="FVC" sheetId="19" r:id="rId19"/>
    <sheet name="FPI_Insti" sheetId="20" r:id="rId20"/>
    <sheet name="Bank_Insti" sheetId="21" r:id="rId21"/>
    <sheet name="Insurance" sheetId="22" r:id="rId22"/>
    <sheet name="Pension" sheetId="23" r:id="rId23"/>
    <sheet name="Other_Insti" sheetId="24" r:id="rId24"/>
    <sheet name="CG&amp;SG&amp;PI" sheetId="25" r:id="rId25"/>
    <sheet name="Indivisual(aI)" sheetId="26" state="hidden" r:id="rId26"/>
    <sheet name="Indivisual(aII)" sheetId="28" state="hidden" r:id="rId27"/>
    <sheet name="NBFC" sheetId="31" r:id="rId28"/>
    <sheet name="EmpTrust" sheetId="32" r:id="rId29"/>
    <sheet name="OD" sheetId="33" r:id="rId30"/>
    <sheet name="Other_NonInsti" sheetId="34" state="hidden" r:id="rId31"/>
    <sheet name="DRHolder" sheetId="36" r:id="rId32"/>
    <sheet name="EBT" sheetId="38" r:id="rId33"/>
    <sheet name="Unclaimed_Prom" sheetId="41" r:id="rId34"/>
    <sheet name="TextBlock" sheetId="46" state="hidden" r:id="rId35"/>
    <sheet name="PAC_Public" sheetId="42" r:id="rId36"/>
    <sheet name="Unclaimed_Public" sheetId="43" r:id="rId37"/>
  </sheet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24519"/>
  <fileRecoveryPr autoRecover="0"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28"/>
  <c r="O24"/>
  <c r="K24"/>
  <c r="V24" s="1"/>
  <c r="S23"/>
  <c r="O23"/>
  <c r="K23"/>
  <c r="V23" s="1"/>
  <c r="S22"/>
  <c r="O22"/>
  <c r="K22"/>
  <c r="V22" s="1"/>
  <c r="S21"/>
  <c r="O21"/>
  <c r="K21"/>
  <c r="V21" s="1"/>
  <c r="S20"/>
  <c r="O20"/>
  <c r="K20"/>
  <c r="V20" s="1"/>
  <c r="S19"/>
  <c r="O19"/>
  <c r="K19"/>
  <c r="V19" s="1"/>
  <c r="S18"/>
  <c r="O18"/>
  <c r="K18"/>
  <c r="V18" s="1"/>
  <c r="S17"/>
  <c r="O17"/>
  <c r="K17"/>
  <c r="V17" s="1"/>
  <c r="S16"/>
  <c r="O16"/>
  <c r="K16"/>
  <c r="V16" s="1"/>
  <c r="S15"/>
  <c r="O15"/>
  <c r="K15"/>
  <c r="V15" s="1"/>
  <c r="U21" i="34"/>
  <c r="Q21"/>
  <c r="M21"/>
  <c r="X21" s="1"/>
  <c r="U20"/>
  <c r="Q20"/>
  <c r="M20"/>
  <c r="X20" s="1"/>
  <c r="U19"/>
  <c r="Q19"/>
  <c r="M19"/>
  <c r="X19" s="1"/>
  <c r="U18"/>
  <c r="Q18"/>
  <c r="M18"/>
  <c r="X18" s="1"/>
  <c r="U17"/>
  <c r="Q17"/>
  <c r="M17"/>
  <c r="X17" s="1"/>
  <c r="U16"/>
  <c r="Q16"/>
  <c r="M16"/>
  <c r="X16" s="1"/>
  <c r="U15"/>
  <c r="Q15"/>
  <c r="M15"/>
  <c r="X15" s="1"/>
  <c r="X20" i="2"/>
  <c r="S20"/>
  <c r="O20"/>
  <c r="K20"/>
  <c r="V20" s="1"/>
  <c r="X19"/>
  <c r="S19"/>
  <c r="O19"/>
  <c r="K19"/>
  <c r="V19" s="1"/>
  <c r="X18"/>
  <c r="S18"/>
  <c r="O18"/>
  <c r="K18"/>
  <c r="V18" s="1"/>
  <c r="X17"/>
  <c r="S17"/>
  <c r="O17"/>
  <c r="K17"/>
  <c r="V17" s="1"/>
  <c r="X16"/>
  <c r="S16"/>
  <c r="O16"/>
  <c r="K16"/>
  <c r="V16" s="1"/>
  <c r="X15"/>
  <c r="S15"/>
  <c r="O15"/>
  <c r="K15"/>
  <c r="V15" s="1"/>
  <c r="N55" i="1"/>
  <c r="N54"/>
  <c r="N47"/>
  <c r="N46"/>
  <c r="N45"/>
  <c r="N40"/>
  <c r="N38"/>
  <c r="N37"/>
  <c r="N36"/>
  <c r="N35"/>
  <c r="N34"/>
  <c r="N33"/>
  <c r="N32"/>
  <c r="N31"/>
  <c r="N30" l="1"/>
  <c r="V13" i="38" l="1"/>
  <c r="W13" i="36"/>
  <c r="X13" i="34"/>
  <c r="V13" i="33"/>
  <c r="V13" i="32"/>
  <c r="V13" i="31"/>
  <c r="V13" i="28"/>
  <c r="V13" i="26"/>
  <c r="V13" i="25"/>
  <c r="X13" i="24"/>
  <c r="V13" i="23"/>
  <c r="V13" i="22"/>
  <c r="V13" i="21"/>
  <c r="V13" i="20"/>
  <c r="V13" i="19"/>
  <c r="V13" i="18"/>
  <c r="V13" i="17"/>
  <c r="V13" i="16"/>
  <c r="X13" i="15"/>
  <c r="V13" i="14"/>
  <c r="V13" i="11"/>
  <c r="V13" i="10"/>
  <c r="V13" i="6"/>
  <c r="X13" i="5"/>
  <c r="V13" i="4"/>
  <c r="V13" i="3"/>
  <c r="V13" i="2"/>
  <c r="Z13" i="15" l="1"/>
  <c r="X13" i="14"/>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AD13" s="1"/>
  <c r="H21" i="1" s="1"/>
  <c r="F16" i="39" l="1"/>
  <c r="W16" i="21" l="1"/>
  <c r="L23" i="34" l="1"/>
  <c r="K23"/>
  <c r="J23"/>
  <c r="J3"/>
  <c r="I23"/>
  <c r="I3"/>
  <c r="K16" i="24"/>
  <c r="J16"/>
  <c r="I16"/>
  <c r="I3"/>
  <c r="L16" l="1"/>
  <c r="L3"/>
  <c r="K3"/>
  <c r="J3"/>
  <c r="G16" i="38" l="1"/>
  <c r="H16" i="36"/>
  <c r="O39" i="1" l="1"/>
  <c r="AA16" i="15" l="1"/>
  <c r="Y16"/>
  <c r="W16"/>
  <c r="T16"/>
  <c r="P16"/>
  <c r="L16"/>
  <c r="K16"/>
  <c r="I16"/>
  <c r="AA16" i="5"/>
  <c r="P16"/>
  <c r="L16"/>
  <c r="I16"/>
  <c r="K16" l="1"/>
  <c r="T16"/>
  <c r="R14" i="34"/>
  <c r="K3"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L3" i="34" l="1"/>
  <c r="J16" i="5" l="1"/>
  <c r="Z49" i="1"/>
  <c r="N41"/>
  <c r="O49" l="1"/>
  <c r="U16" i="5"/>
  <c r="S16"/>
  <c r="U16" i="15" l="1"/>
  <c r="S16"/>
  <c r="W16" i="5"/>
  <c r="X16" s="1"/>
  <c r="M16" i="15"/>
  <c r="Q16"/>
  <c r="J16"/>
  <c r="M16" i="5"/>
  <c r="Q16"/>
  <c r="O16"/>
  <c r="X16" i="15" l="1"/>
  <c r="Z16"/>
  <c r="Y16" i="5"/>
  <c r="Z16" s="1"/>
  <c r="O16" i="15"/>
  <c r="S13" i="38" l="1"/>
  <c r="U13" i="34" l="1"/>
  <c r="Q13"/>
  <c r="M13"/>
  <c r="M23" s="1"/>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M3"/>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L13" s="1"/>
  <c r="S13" i="10"/>
  <c r="O13"/>
  <c r="P13" s="1"/>
  <c r="K13"/>
  <c r="L13" s="1"/>
  <c r="S13" i="6"/>
  <c r="O13"/>
  <c r="P13" s="1"/>
  <c r="K13"/>
  <c r="AC13" i="20" l="1"/>
  <c r="AC13" i="21"/>
  <c r="AC13" i="31"/>
  <c r="AC13" i="19"/>
  <c r="AC13" i="32"/>
  <c r="AC13" i="23"/>
  <c r="AC13" i="38"/>
  <c r="AC13" i="33"/>
  <c r="AC13" i="24"/>
  <c r="AC13" i="26"/>
  <c r="AC13" i="28"/>
  <c r="AC13" i="25"/>
  <c r="AC13" i="34"/>
  <c r="T13" i="18"/>
  <c r="L13"/>
  <c r="T13" i="17"/>
  <c r="AC13" s="1"/>
  <c r="T13" i="16"/>
  <c r="L13"/>
  <c r="T13" i="14"/>
  <c r="L13"/>
  <c r="O16" i="11"/>
  <c r="T13"/>
  <c r="AC13" s="1"/>
  <c r="T13" i="10"/>
  <c r="T13" i="6"/>
  <c r="L13"/>
  <c r="U13" i="5"/>
  <c r="Q13"/>
  <c r="R13" s="1"/>
  <c r="M13"/>
  <c r="N13" s="1"/>
  <c r="S13" i="4"/>
  <c r="O13"/>
  <c r="P13" s="1"/>
  <c r="K13"/>
  <c r="K13" i="2"/>
  <c r="S13" i="3"/>
  <c r="O13"/>
  <c r="P13" s="1"/>
  <c r="K13"/>
  <c r="T55" i="1"/>
  <c r="T54"/>
  <c r="P55"/>
  <c r="P54"/>
  <c r="U15" i="36"/>
  <c r="T13"/>
  <c r="Q15"/>
  <c r="P13"/>
  <c r="Q13" s="1"/>
  <c r="M15"/>
  <c r="O13" i="2"/>
  <c r="P13" s="1"/>
  <c r="S16" i="25"/>
  <c r="W16"/>
  <c r="U16"/>
  <c r="V16" s="1"/>
  <c r="R16"/>
  <c r="Q16"/>
  <c r="O16"/>
  <c r="N16"/>
  <c r="M16"/>
  <c r="K16"/>
  <c r="J16"/>
  <c r="I16"/>
  <c r="H16"/>
  <c r="AC13" i="6" l="1"/>
  <c r="AC13" i="16"/>
  <c r="AC13" i="14"/>
  <c r="AC13" i="18"/>
  <c r="V13" i="5"/>
  <c r="AC13" s="1"/>
  <c r="T13" i="4"/>
  <c r="L13"/>
  <c r="T13" i="3"/>
  <c r="L13"/>
  <c r="Z41" i="1"/>
  <c r="K41"/>
  <c r="J41"/>
  <c r="I41"/>
  <c r="H41"/>
  <c r="AC13" i="3" l="1"/>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W43"/>
  <c r="L40"/>
  <c r="L38"/>
  <c r="W38" s="1"/>
  <c r="L37"/>
  <c r="W37" s="1"/>
  <c r="L36"/>
  <c r="W36" s="1"/>
  <c r="L35"/>
  <c r="W35" s="1"/>
  <c r="L34"/>
  <c r="W34" s="1"/>
  <c r="L33"/>
  <c r="W33" s="1"/>
  <c r="L32"/>
  <c r="W32" s="1"/>
  <c r="L31"/>
  <c r="W31" s="1"/>
  <c r="L30"/>
  <c r="W30" s="1"/>
  <c r="T34"/>
  <c r="S17" i="44"/>
  <c r="O17"/>
  <c r="R49" i="1"/>
  <c r="S49"/>
  <c r="V49"/>
  <c r="T48"/>
  <c r="T47"/>
  <c r="T46"/>
  <c r="P46"/>
  <c r="T45"/>
  <c r="P45"/>
  <c r="T44"/>
  <c r="T43"/>
  <c r="V39"/>
  <c r="T38"/>
  <c r="T37"/>
  <c r="T36"/>
  <c r="T35"/>
  <c r="T33"/>
  <c r="T32"/>
  <c r="T31"/>
  <c r="T30"/>
  <c r="P38"/>
  <c r="P37"/>
  <c r="P36"/>
  <c r="P35"/>
  <c r="P34"/>
  <c r="P33"/>
  <c r="P32"/>
  <c r="P31"/>
  <c r="P40" l="1"/>
  <c r="P41" s="1"/>
  <c r="W40"/>
  <c r="P47"/>
  <c r="W44"/>
  <c r="H49"/>
  <c r="L47"/>
  <c r="W47" s="1"/>
  <c r="O41"/>
  <c r="O50" s="1"/>
  <c r="L41"/>
  <c r="P56"/>
  <c r="O16" i="44"/>
  <c r="T56" i="1"/>
  <c r="S15" i="44" s="1"/>
  <c r="S16"/>
  <c r="T49" i="1"/>
  <c r="T39"/>
  <c r="G16" i="44" l="1"/>
  <c r="I49" i="1"/>
  <c r="O15" i="44"/>
  <c r="S41" i="1"/>
  <c r="R41"/>
  <c r="T40"/>
  <c r="T41" s="1"/>
  <c r="W16" i="38"/>
  <c r="U16"/>
  <c r="R16"/>
  <c r="Q16"/>
  <c r="N16"/>
  <c r="M16"/>
  <c r="J16"/>
  <c r="I16"/>
  <c r="H16"/>
  <c r="S16"/>
  <c r="X16" i="36"/>
  <c r="V16"/>
  <c r="W16" s="1"/>
  <c r="S16"/>
  <c r="R16"/>
  <c r="O16"/>
  <c r="N16"/>
  <c r="K16"/>
  <c r="J16"/>
  <c r="I16"/>
  <c r="T16"/>
  <c r="L13"/>
  <c r="AC13" s="1"/>
  <c r="X16" i="25"/>
  <c r="S16" i="33"/>
  <c r="K16"/>
  <c r="S16" i="32"/>
  <c r="S16" i="31"/>
  <c r="K16"/>
  <c r="S16" i="26"/>
  <c r="W16" i="33"/>
  <c r="U16"/>
  <c r="V16" s="1"/>
  <c r="R16"/>
  <c r="Q16"/>
  <c r="N16"/>
  <c r="M16"/>
  <c r="J16"/>
  <c r="I16"/>
  <c r="H16"/>
  <c r="W16" i="32"/>
  <c r="U16"/>
  <c r="V16" s="1"/>
  <c r="R16"/>
  <c r="Q16"/>
  <c r="N16"/>
  <c r="M16"/>
  <c r="J16"/>
  <c r="I16"/>
  <c r="H16"/>
  <c r="W16" i="31"/>
  <c r="U16"/>
  <c r="V16" s="1"/>
  <c r="R16"/>
  <c r="Q16"/>
  <c r="N16"/>
  <c r="M16"/>
  <c r="J16"/>
  <c r="I16"/>
  <c r="H16"/>
  <c r="W26" i="28"/>
  <c r="U26"/>
  <c r="R26"/>
  <c r="Q26"/>
  <c r="O26"/>
  <c r="N26"/>
  <c r="M26"/>
  <c r="J26"/>
  <c r="I26"/>
  <c r="H26"/>
  <c r="W16" i="26"/>
  <c r="U16"/>
  <c r="V16" s="1"/>
  <c r="R16"/>
  <c r="Q16"/>
  <c r="N16"/>
  <c r="M16"/>
  <c r="J16"/>
  <c r="I16"/>
  <c r="H16"/>
  <c r="W16" i="23"/>
  <c r="U16"/>
  <c r="V16" s="1"/>
  <c r="R16"/>
  <c r="Q16"/>
  <c r="N16"/>
  <c r="M16"/>
  <c r="J16"/>
  <c r="I16"/>
  <c r="H16"/>
  <c r="W16" i="22"/>
  <c r="U16"/>
  <c r="V16" s="1"/>
  <c r="R16"/>
  <c r="Q16"/>
  <c r="N16"/>
  <c r="M16"/>
  <c r="J16"/>
  <c r="I16"/>
  <c r="H16"/>
  <c r="U16" i="21"/>
  <c r="V16" s="1"/>
  <c r="R16"/>
  <c r="Q16"/>
  <c r="N16"/>
  <c r="M16"/>
  <c r="J16"/>
  <c r="I16"/>
  <c r="H16"/>
  <c r="W16" i="20"/>
  <c r="U16"/>
  <c r="V16" s="1"/>
  <c r="R16"/>
  <c r="Q16"/>
  <c r="N16"/>
  <c r="M16"/>
  <c r="J16"/>
  <c r="I16"/>
  <c r="H16"/>
  <c r="W16" i="19"/>
  <c r="U16"/>
  <c r="V16" s="1"/>
  <c r="R16"/>
  <c r="Q16"/>
  <c r="N16"/>
  <c r="M16"/>
  <c r="J16"/>
  <c r="I16"/>
  <c r="H16"/>
  <c r="W16" i="18"/>
  <c r="U16"/>
  <c r="V16" s="1"/>
  <c r="R16"/>
  <c r="Q16"/>
  <c r="N16"/>
  <c r="M16"/>
  <c r="J16"/>
  <c r="I16"/>
  <c r="H16"/>
  <c r="W16" i="17"/>
  <c r="U16"/>
  <c r="V16" s="1"/>
  <c r="R16"/>
  <c r="Q16"/>
  <c r="N16"/>
  <c r="M16"/>
  <c r="J16"/>
  <c r="I16"/>
  <c r="H16"/>
  <c r="N16" i="16"/>
  <c r="M16"/>
  <c r="J16"/>
  <c r="I16"/>
  <c r="H16"/>
  <c r="U13" i="15"/>
  <c r="Q13"/>
  <c r="R13" s="1"/>
  <c r="M13"/>
  <c r="N13" s="1"/>
  <c r="Y16" i="10"/>
  <c r="W16"/>
  <c r="X16" s="1"/>
  <c r="U16"/>
  <c r="V16" s="1"/>
  <c r="R16"/>
  <c r="Q16"/>
  <c r="N16"/>
  <c r="M16"/>
  <c r="J16"/>
  <c r="I16"/>
  <c r="H16"/>
  <c r="Y16" i="6"/>
  <c r="W16"/>
  <c r="X16" s="1"/>
  <c r="U16"/>
  <c r="V16" s="1"/>
  <c r="R16"/>
  <c r="N16"/>
  <c r="M16"/>
  <c r="J16"/>
  <c r="I16"/>
  <c r="H16"/>
  <c r="Y16" i="4"/>
  <c r="W16"/>
  <c r="X16" s="1"/>
  <c r="U16"/>
  <c r="V16" s="1"/>
  <c r="R16"/>
  <c r="Q16"/>
  <c r="N16"/>
  <c r="M16"/>
  <c r="J16"/>
  <c r="I16"/>
  <c r="H16"/>
  <c r="Y16" i="3"/>
  <c r="W16"/>
  <c r="U16"/>
  <c r="R16"/>
  <c r="Q16"/>
  <c r="N16"/>
  <c r="M16"/>
  <c r="J16"/>
  <c r="I16"/>
  <c r="H16"/>
  <c r="I15" i="1" s="1"/>
  <c r="S16" i="23"/>
  <c r="S16" i="22"/>
  <c r="K16"/>
  <c r="S16" i="21"/>
  <c r="S16" i="20"/>
  <c r="K16"/>
  <c r="S16" i="19"/>
  <c r="S16" i="18"/>
  <c r="K16"/>
  <c r="S16" i="17"/>
  <c r="K16" i="16"/>
  <c r="S16" i="10"/>
  <c r="O16"/>
  <c r="S16" i="6"/>
  <c r="K16"/>
  <c r="S16" i="4"/>
  <c r="O16"/>
  <c r="J49" i="1" l="1"/>
  <c r="K49"/>
  <c r="W48"/>
  <c r="H17" i="44"/>
  <c r="N49" i="1"/>
  <c r="H16" i="44"/>
  <c r="I56" i="1"/>
  <c r="G17" i="44"/>
  <c r="H56" i="1"/>
  <c r="G15" i="44" s="1"/>
  <c r="V41" i="1"/>
  <c r="W41" s="1"/>
  <c r="K16" i="3"/>
  <c r="V16" s="1"/>
  <c r="S16"/>
  <c r="O16"/>
  <c r="O16" i="26"/>
  <c r="O16" i="32"/>
  <c r="O16" i="38"/>
  <c r="V13" i="15"/>
  <c r="AC13" s="1"/>
  <c r="K16" i="17"/>
  <c r="K16" i="32"/>
  <c r="K16" i="23"/>
  <c r="K16" i="10"/>
  <c r="K16" i="19"/>
  <c r="K16" i="21"/>
  <c r="K16" i="26"/>
  <c r="K16" i="38"/>
  <c r="V16" s="1"/>
  <c r="L16" i="36"/>
  <c r="P16"/>
  <c r="O16" i="21"/>
  <c r="O16" i="22"/>
  <c r="O16" i="23"/>
  <c r="O16" i="20"/>
  <c r="O16" i="19"/>
  <c r="O16" i="18"/>
  <c r="O16" i="17"/>
  <c r="O16" i="16"/>
  <c r="O16" i="6"/>
  <c r="K16" i="4"/>
  <c r="O16" i="33"/>
  <c r="O16" i="31"/>
  <c r="X16" i="3" l="1"/>
  <c r="L49" i="1"/>
  <c r="W49" s="1"/>
  <c r="P49"/>
  <c r="H15" i="44"/>
  <c r="I16"/>
  <c r="J56" i="1"/>
  <c r="I15" i="44" s="1"/>
  <c r="I17"/>
  <c r="Y22" i="2"/>
  <c r="W22"/>
  <c r="U22"/>
  <c r="R22"/>
  <c r="S14" i="1" s="1"/>
  <c r="Q22" i="2"/>
  <c r="R14" i="1" s="1"/>
  <c r="J22" i="2"/>
  <c r="K14" i="1" s="1"/>
  <c r="I22" i="2"/>
  <c r="J14" i="1" s="1"/>
  <c r="S22" i="2"/>
  <c r="T14" i="1" s="1"/>
  <c r="K22" i="2"/>
  <c r="X14" i="1" l="1"/>
  <c r="Y14" s="1"/>
  <c r="X22" i="2"/>
  <c r="W14" i="1"/>
  <c r="V22" i="2"/>
  <c r="J16" i="44"/>
  <c r="K56" i="1"/>
  <c r="J15" i="44" s="1"/>
  <c r="L54" i="1"/>
  <c r="W54" s="1"/>
  <c r="V16" i="44" s="1"/>
  <c r="J17"/>
  <c r="L55" i="1"/>
  <c r="S26" i="28"/>
  <c r="K26"/>
  <c r="V26" s="1"/>
  <c r="K17" i="44" l="1"/>
  <c r="W55" i="1"/>
  <c r="V17" i="44" s="1"/>
  <c r="K16"/>
  <c r="L56" i="1"/>
  <c r="O22" i="2"/>
  <c r="Z24" i="1"/>
  <c r="S24"/>
  <c r="P24"/>
  <c r="O24"/>
  <c r="K24"/>
  <c r="J24"/>
  <c r="Y16" i="11"/>
  <c r="Z22" i="1" s="1"/>
  <c r="W16" i="11"/>
  <c r="X16" s="1"/>
  <c r="U16"/>
  <c r="V16" s="1"/>
  <c r="S16"/>
  <c r="T22" i="1" s="1"/>
  <c r="R16" i="11"/>
  <c r="S22" i="1" s="1"/>
  <c r="Q16" i="11"/>
  <c r="R22" i="1" s="1"/>
  <c r="N16" i="11"/>
  <c r="O22" i="1" s="1"/>
  <c r="M16" i="11"/>
  <c r="N22" i="1" s="1"/>
  <c r="K16" i="11"/>
  <c r="J16"/>
  <c r="K22" i="1" s="1"/>
  <c r="I16" i="11"/>
  <c r="J22" i="1" s="1"/>
  <c r="H16" i="11"/>
  <c r="I22" i="1" s="1"/>
  <c r="X21"/>
  <c r="T21"/>
  <c r="S21"/>
  <c r="P21"/>
  <c r="O21"/>
  <c r="L21"/>
  <c r="I21"/>
  <c r="X24"/>
  <c r="Y24" s="1"/>
  <c r="T24"/>
  <c r="L24"/>
  <c r="I24"/>
  <c r="Z21"/>
  <c r="V21"/>
  <c r="W21" s="1"/>
  <c r="R21"/>
  <c r="N21"/>
  <c r="K21"/>
  <c r="J21"/>
  <c r="V16"/>
  <c r="Z15"/>
  <c r="X15"/>
  <c r="V15"/>
  <c r="W15" s="1"/>
  <c r="T15"/>
  <c r="S15"/>
  <c r="R15"/>
  <c r="P15"/>
  <c r="O15"/>
  <c r="N15"/>
  <c r="L15"/>
  <c r="K15"/>
  <c r="J15"/>
  <c r="P16"/>
  <c r="Z16"/>
  <c r="X16"/>
  <c r="S16"/>
  <c r="R16"/>
  <c r="O16"/>
  <c r="N16"/>
  <c r="L16"/>
  <c r="K16"/>
  <c r="J16"/>
  <c r="I16"/>
  <c r="Y15" l="1"/>
  <c r="K15" i="44"/>
  <c r="W56" i="1"/>
  <c r="V15" i="44" s="1"/>
  <c r="Y21" i="1"/>
  <c r="Y16"/>
  <c r="W16"/>
  <c r="X22"/>
  <c r="V22"/>
  <c r="P22"/>
  <c r="L22"/>
  <c r="T16"/>
  <c r="W22" l="1"/>
  <c r="Y22"/>
  <c r="L13" i="2"/>
  <c r="S13"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X16" s="1"/>
  <c r="U16"/>
  <c r="V16" s="1"/>
  <c r="S16"/>
  <c r="T23" i="1" s="1"/>
  <c r="T25" s="1"/>
  <c r="R16" i="14"/>
  <c r="S23" i="1" s="1"/>
  <c r="S25" s="1"/>
  <c r="Q16" i="14"/>
  <c r="R23" i="1" s="1"/>
  <c r="O16" i="14"/>
  <c r="N16"/>
  <c r="O23" i="1" s="1"/>
  <c r="M16" i="14"/>
  <c r="N23" i="1" s="1"/>
  <c r="K16" i="14"/>
  <c r="J16"/>
  <c r="K23" i="1" s="1"/>
  <c r="I16" i="14"/>
  <c r="J23" i="1" s="1"/>
  <c r="J25" s="1"/>
  <c r="H16" i="14"/>
  <c r="I23" i="1" s="1"/>
  <c r="I50" l="1"/>
  <c r="H14" i="44" s="1"/>
  <c r="H50" i="1"/>
  <c r="G14" i="44" s="1"/>
  <c r="Q14"/>
  <c r="T50" i="1"/>
  <c r="S14" i="44" s="1"/>
  <c r="P23" i="1"/>
  <c r="P25" s="1"/>
  <c r="V23"/>
  <c r="L23"/>
  <c r="L25" s="1"/>
  <c r="X23"/>
  <c r="L39"/>
  <c r="W39" s="1"/>
  <c r="J14" i="44"/>
  <c r="Y14"/>
  <c r="I14"/>
  <c r="V50" i="1"/>
  <c r="N14" i="44"/>
  <c r="Z25" i="1"/>
  <c r="O25"/>
  <c r="K25"/>
  <c r="I25"/>
  <c r="Z17"/>
  <c r="X17"/>
  <c r="T17"/>
  <c r="S17"/>
  <c r="P17"/>
  <c r="O17"/>
  <c r="L17"/>
  <c r="K17"/>
  <c r="J17"/>
  <c r="I17"/>
  <c r="Y17" l="1"/>
  <c r="Y23"/>
  <c r="W23"/>
  <c r="X25"/>
  <c r="Y25" s="1"/>
  <c r="U14" i="44"/>
  <c r="L50" i="1"/>
  <c r="W50" s="1"/>
  <c r="V14" i="44" s="1"/>
  <c r="Z18" i="1"/>
  <c r="Z26" s="1"/>
  <c r="T18"/>
  <c r="P18"/>
  <c r="N22" i="2"/>
  <c r="O14" i="1" s="1"/>
  <c r="M22" i="2"/>
  <c r="H22"/>
  <c r="K14" i="44" l="1"/>
  <c r="P26" i="1"/>
  <c r="T26"/>
  <c r="S13" i="44" s="1"/>
  <c r="O18" i="1"/>
  <c r="O26" s="1"/>
  <c r="Z57"/>
  <c r="Y13" i="44"/>
  <c r="X18" i="1"/>
  <c r="S18"/>
  <c r="S26" s="1"/>
  <c r="J18"/>
  <c r="K18"/>
  <c r="K26" s="1"/>
  <c r="J13" i="44" s="1"/>
  <c r="Z58" i="1"/>
  <c r="Y18" i="44" s="1"/>
  <c r="L18" i="1"/>
  <c r="I18"/>
  <c r="I26" s="1"/>
  <c r="H13" i="44" s="1"/>
  <c r="Y18" i="1" l="1"/>
  <c r="O13" i="44"/>
  <c r="T57" i="1"/>
  <c r="X26"/>
  <c r="L26"/>
  <c r="T58"/>
  <c r="S18" i="44" s="1"/>
  <c r="N13"/>
  <c r="O58" i="1"/>
  <c r="N18" i="44" s="1"/>
  <c r="O57" i="1"/>
  <c r="Q16" i="6"/>
  <c r="R20" i="1" s="1"/>
  <c r="J26"/>
  <c r="J58" s="1"/>
  <c r="I18" i="44" s="1"/>
  <c r="S58" i="1"/>
  <c r="R18" i="44" s="1"/>
  <c r="R13"/>
  <c r="S57" i="1"/>
  <c r="K58"/>
  <c r="J18" i="44" s="1"/>
  <c r="K57" i="1"/>
  <c r="I57"/>
  <c r="I58"/>
  <c r="H18" i="44" s="1"/>
  <c r="Y26" i="1" l="1"/>
  <c r="R24"/>
  <c r="R25" s="1"/>
  <c r="R17"/>
  <c r="R18" s="1"/>
  <c r="Q41"/>
  <c r="Q56"/>
  <c r="Q40"/>
  <c r="Q34"/>
  <c r="Q25"/>
  <c r="Q45"/>
  <c r="Q46"/>
  <c r="Q35"/>
  <c r="L57"/>
  <c r="W13" i="44"/>
  <c r="Q47" i="1"/>
  <c r="Q54"/>
  <c r="P16" i="44" s="1"/>
  <c r="Q38" i="1"/>
  <c r="Q36"/>
  <c r="Q37"/>
  <c r="Q32"/>
  <c r="P16" i="10"/>
  <c r="Q21" i="1" s="1"/>
  <c r="R16" i="5"/>
  <c r="Q17" i="1" s="1"/>
  <c r="P16" i="26"/>
  <c r="P16" i="16"/>
  <c r="P16" i="31"/>
  <c r="P16" i="38"/>
  <c r="P16" i="23"/>
  <c r="P16" i="25"/>
  <c r="P16" i="3"/>
  <c r="Q15" i="1" s="1"/>
  <c r="P16" i="6"/>
  <c r="Q20" i="1" s="1"/>
  <c r="P16" i="18"/>
  <c r="P16" i="21"/>
  <c r="K13" i="44"/>
  <c r="Q55" i="1"/>
  <c r="P17" i="44" s="1"/>
  <c r="L58" i="1"/>
  <c r="K18" i="44" s="1"/>
  <c r="P16" i="11"/>
  <c r="Q22" i="1" s="1"/>
  <c r="P16" i="32"/>
  <c r="P16" i="17"/>
  <c r="P16" i="22"/>
  <c r="X58" i="1"/>
  <c r="Q16" i="36"/>
  <c r="P16" i="4"/>
  <c r="Q16" i="1" s="1"/>
  <c r="P16" i="14"/>
  <c r="Q23" i="1" s="1"/>
  <c r="P16" i="19"/>
  <c r="P16" i="20"/>
  <c r="P16" i="33"/>
  <c r="R16" i="15"/>
  <c r="Q24" i="1" s="1"/>
  <c r="J57"/>
  <c r="I13" i="44"/>
  <c r="L23" i="28" l="1"/>
  <c r="L18"/>
  <c r="T15"/>
  <c r="T21"/>
  <c r="T17"/>
  <c r="T23"/>
  <c r="L15"/>
  <c r="L19"/>
  <c r="L16"/>
  <c r="L24"/>
  <c r="T22"/>
  <c r="T18"/>
  <c r="L17"/>
  <c r="T24"/>
  <c r="T19"/>
  <c r="L22"/>
  <c r="L21"/>
  <c r="T20"/>
  <c r="L20"/>
  <c r="T16"/>
  <c r="N18" i="34"/>
  <c r="N20"/>
  <c r="V16"/>
  <c r="V15"/>
  <c r="V18"/>
  <c r="N19"/>
  <c r="N16"/>
  <c r="N21"/>
  <c r="V17"/>
  <c r="V20"/>
  <c r="V21"/>
  <c r="N17"/>
  <c r="V19"/>
  <c r="N15"/>
  <c r="L20" i="2"/>
  <c r="T20"/>
  <c r="L19"/>
  <c r="T19"/>
  <c r="L18"/>
  <c r="T18"/>
  <c r="T17"/>
  <c r="L17"/>
  <c r="L16"/>
  <c r="T16"/>
  <c r="L15"/>
  <c r="T15"/>
  <c r="Y58" i="1"/>
  <c r="X18" i="44" s="1"/>
  <c r="M57" i="1"/>
  <c r="M58"/>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26" i="28"/>
  <c r="N16" i="15"/>
  <c r="L16" i="32"/>
  <c r="T16"/>
  <c r="L16" i="33"/>
  <c r="L16" i="31"/>
  <c r="T16" i="38"/>
  <c r="L16" i="14"/>
  <c r="V16" i="15"/>
  <c r="L26" i="28"/>
  <c r="T16" i="33"/>
  <c r="L16" i="38"/>
  <c r="T16" i="14"/>
  <c r="L16" i="11"/>
  <c r="T16" i="10"/>
  <c r="T16" i="11"/>
  <c r="N16" i="5"/>
  <c r="L16" i="10"/>
  <c r="T16" i="6"/>
  <c r="V16" i="5"/>
  <c r="L16" i="6"/>
  <c r="L16" i="4"/>
  <c r="T16"/>
  <c r="T16" i="3"/>
  <c r="L16"/>
  <c r="L16" i="16"/>
  <c r="T22" i="2"/>
  <c r="M24" i="1"/>
  <c r="U24"/>
  <c r="L22" i="2"/>
  <c r="M26" i="1"/>
  <c r="X13" i="44"/>
  <c r="U26" i="1"/>
  <c r="U55"/>
  <c r="T17" i="44" s="1"/>
  <c r="U47" i="1"/>
  <c r="U43"/>
  <c r="U38"/>
  <c r="U34"/>
  <c r="U30"/>
  <c r="U23"/>
  <c r="U18"/>
  <c r="U14"/>
  <c r="U44"/>
  <c r="U35"/>
  <c r="U20"/>
  <c r="U50"/>
  <c r="T14" i="44" s="1"/>
  <c r="U46" i="1"/>
  <c r="U41"/>
  <c r="U37"/>
  <c r="U33"/>
  <c r="U22"/>
  <c r="U17"/>
  <c r="U39"/>
  <c r="U57"/>
  <c r="U49"/>
  <c r="U45"/>
  <c r="U40"/>
  <c r="U36"/>
  <c r="U32"/>
  <c r="U21"/>
  <c r="U16"/>
  <c r="U48"/>
  <c r="U31"/>
  <c r="U15"/>
  <c r="M49"/>
  <c r="M45"/>
  <c r="M40"/>
  <c r="M36"/>
  <c r="M32"/>
  <c r="M21"/>
  <c r="M16"/>
  <c r="M41"/>
  <c r="M48"/>
  <c r="M44"/>
  <c r="M39"/>
  <c r="M35"/>
  <c r="M31"/>
  <c r="M20"/>
  <c r="M15"/>
  <c r="M37"/>
  <c r="M22"/>
  <c r="M55"/>
  <c r="L17" i="44" s="1"/>
  <c r="M47" i="1"/>
  <c r="M38"/>
  <c r="M34"/>
  <c r="M30"/>
  <c r="M23"/>
  <c r="M18"/>
  <c r="M14"/>
  <c r="M50"/>
  <c r="L14" i="44" s="1"/>
  <c r="M46" i="1"/>
  <c r="M33"/>
  <c r="M17"/>
  <c r="U25"/>
  <c r="M25"/>
  <c r="P15" i="44"/>
  <c r="AD13" i="19" l="1"/>
  <c r="AD13" i="15"/>
  <c r="H24" i="1" s="1"/>
  <c r="AD13" i="14"/>
  <c r="H23" i="1" s="1"/>
  <c r="AD13" i="6"/>
  <c r="H20" i="1" s="1"/>
  <c r="AD13" i="11"/>
  <c r="H22" i="1" s="1"/>
  <c r="AE13" i="5"/>
  <c r="AD13" i="4"/>
  <c r="H16" i="1" s="1"/>
  <c r="AD13" i="3"/>
  <c r="H15" i="1" s="1"/>
  <c r="U58"/>
  <c r="T18" i="44" s="1"/>
  <c r="L18"/>
  <c r="Q16" i="24"/>
  <c r="T16"/>
  <c r="P16"/>
  <c r="W16"/>
  <c r="X16" s="1"/>
  <c r="Y16"/>
  <c r="U16"/>
  <c r="O16"/>
  <c r="N16"/>
  <c r="S16"/>
  <c r="N3"/>
  <c r="R16"/>
  <c r="R3"/>
  <c r="V3"/>
  <c r="V16"/>
  <c r="N3" i="34"/>
  <c r="Q23"/>
  <c r="O23"/>
  <c r="N23"/>
  <c r="S23"/>
  <c r="U23"/>
  <c r="T23"/>
  <c r="P23"/>
  <c r="S3" i="24"/>
  <c r="T3"/>
  <c r="W3"/>
  <c r="X3"/>
  <c r="U3"/>
  <c r="Y3"/>
  <c r="O3"/>
  <c r="P3"/>
  <c r="Q3"/>
  <c r="O3" i="34"/>
  <c r="T3"/>
  <c r="U3"/>
  <c r="Q3"/>
  <c r="P3"/>
  <c r="S3"/>
  <c r="S16" i="16"/>
  <c r="T16" s="1"/>
  <c r="R58" i="1"/>
  <c r="Q18" i="44" s="1"/>
  <c r="Q13"/>
  <c r="V24" i="1"/>
  <c r="W24" s="1"/>
  <c r="V17"/>
  <c r="W17" s="1"/>
  <c r="N26"/>
  <c r="N39" l="1"/>
  <c r="N50" s="1"/>
  <c r="M14" i="44" s="1"/>
  <c r="P30" i="1"/>
  <c r="AD1" i="3"/>
  <c r="AD13" i="5"/>
  <c r="H17" i="1" s="1"/>
  <c r="H25"/>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P18" i="28" l="1"/>
  <c r="AC18" s="1"/>
  <c r="P22"/>
  <c r="AC22" s="1"/>
  <c r="P17"/>
  <c r="AC17" s="1"/>
  <c r="P21"/>
  <c r="AC21" s="1"/>
  <c r="P16"/>
  <c r="AC16" s="1"/>
  <c r="P20"/>
  <c r="AC20" s="1"/>
  <c r="P24"/>
  <c r="AC24" s="1"/>
  <c r="P15"/>
  <c r="AC15" s="1"/>
  <c r="P19"/>
  <c r="AC19" s="1"/>
  <c r="P23"/>
  <c r="AC23" s="1"/>
  <c r="P26"/>
  <c r="Q44" i="1"/>
  <c r="R16" i="34"/>
  <c r="AC16" s="1"/>
  <c r="R20"/>
  <c r="AC20" s="1"/>
  <c r="R15"/>
  <c r="R19"/>
  <c r="AC19" s="1"/>
  <c r="R18"/>
  <c r="AC18" s="1"/>
  <c r="R17"/>
  <c r="AC17" s="1"/>
  <c r="R21"/>
  <c r="AC21" s="1"/>
  <c r="Q48" i="1"/>
  <c r="P20" i="2"/>
  <c r="AC20" s="1"/>
  <c r="Q49" i="1"/>
  <c r="Q43"/>
  <c r="P18" i="2"/>
  <c r="AC18" s="1"/>
  <c r="P19"/>
  <c r="AC19" s="1"/>
  <c r="P16"/>
  <c r="AC16" s="1"/>
  <c r="P17"/>
  <c r="AC17" s="1"/>
  <c r="P15"/>
  <c r="AC15" s="1"/>
  <c r="Q18" i="1"/>
  <c r="Q26"/>
  <c r="P13" i="44" s="1"/>
  <c r="P22" i="2"/>
  <c r="Q14" i="1" s="1"/>
  <c r="Q31"/>
  <c r="Q30"/>
  <c r="Q50"/>
  <c r="P14" i="44" s="1"/>
  <c r="Q57" i="1"/>
  <c r="Q33"/>
  <c r="Q39"/>
  <c r="O18" i="44"/>
  <c r="Q58" i="1"/>
  <c r="P18" i="44" s="1"/>
  <c r="V23" i="34" l="1"/>
  <c r="R23"/>
  <c r="AC15"/>
  <c r="W23"/>
  <c r="X23" s="1"/>
  <c r="Y23"/>
  <c r="X3"/>
  <c r="V3"/>
  <c r="R3"/>
  <c r="Y3"/>
  <c r="W3"/>
  <c r="AD13" i="2"/>
  <c r="H18" i="1" s="1"/>
  <c r="H26" s="1"/>
  <c r="H57" s="1"/>
  <c r="H58" l="1"/>
  <c r="G18" i="44" s="1"/>
  <c r="G13"/>
</calcChain>
</file>

<file path=xl/sharedStrings.xml><?xml version="1.0" encoding="utf-8"?>
<sst xmlns="http://schemas.openxmlformats.org/spreadsheetml/2006/main" count="10045" uniqueCount="1109">
  <si>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</si>
  <si>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</si>
  <si>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</si>
  <si>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</si>
  <si>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</si>
  <si>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</si>
  <si>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</si>
  <si>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</si>
  <si>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</si>
  <si>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</si>
  <si>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</si>
  <si>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</si>
  <si>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</si>
  <si>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</si>
  <si>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</si>
  <si>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</si>
  <si>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</si>
  <si>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</si>
  <si>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</si>
  <si>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</si>
  <si>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</si>
  <si>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</si>
  <si>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</si>
  <si>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</si>
  <si>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</si>
  <si>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</si>
  <si>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</si>
  <si>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</si>
  <si>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</si>
  <si>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</si>
  <si>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</si>
  <si>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</si>
  <si>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</si>
  <si>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</si>
  <si>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</si>
  <si>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</si>
  <si>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</si>
  <si>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</si>
  <si>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</si>
  <si>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</si>
  <si>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</si>
  <si>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</si>
  <si>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</si>
  <si>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</si>
  <si>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</si>
  <si>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</si>
  <si>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</si>
  <si>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</si>
  <si>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</si>
  <si>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</si>
  <si>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</si>
  <si>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</si>
  <si>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</si>
  <si>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</si>
  <si>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</si>
  <si>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</si>
  <si>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</si>
  <si>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</si>
  <si>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</si>
  <si>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</si>
  <si>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</si>
  <si>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</si>
  <si>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</si>
  <si>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</si>
  <si>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</si>
  <si>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</si>
  <si>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</si>
  <si>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</si>
  <si>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</si>
  <si>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</si>
  <si>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</si>
  <si>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</si>
  <si>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</si>
  <si>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</si>
  <si>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</si>
  <si>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</si>
  <si>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</si>
  <si>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</si>
  <si>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</si>
  <si>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</si>
  <si>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</si>
  <si>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</si>
  <si>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</si>
  <si>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</si>
  <si>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</si>
  <si>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</si>
  <si>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</si>
  <si>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</si>
  <si>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</si>
  <si>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</si>
  <si>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</si>
  <si>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</si>
  <si>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</si>
  <si>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</si>
  <si>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</si>
  <si>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</si>
  <si>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</si>
  <si>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</si>
  <si>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</si>
  <si>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</si>
  <si>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</si>
  <si>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</si>
  <si>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</si>
  <si>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</si>
  <si>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</si>
  <si>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</si>
  <si>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</si>
  <si>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</si>
  <si>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</si>
  <si>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</si>
  <si>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</si>
  <si>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</si>
  <si>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</si>
  <si>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</si>
  <si>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</si>
  <si>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</si>
  <si>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</si>
  <si>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</si>
  <si>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</si>
  <si>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</si>
  <si>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</si>
  <si>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</si>
  <si>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</si>
  <si>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</si>
  <si>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</si>
  <si>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</si>
  <si>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</si>
  <si>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</si>
  <si>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</si>
  <si>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</si>
  <si>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</si>
  <si>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</si>
  <si>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</si>
  <si>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</si>
  <si>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</si>
  <si>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</si>
  <si>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</si>
  <si>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</si>
  <si>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</si>
  <si>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</si>
  <si>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</si>
  <si>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</si>
  <si>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</si>
  <si>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</si>
  <si>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</si>
  <si>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</si>
  <si>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</si>
  <si>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</si>
  <si>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</si>
  <si>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</si>
  <si>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</si>
  <si>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</si>
  <si>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</si>
  <si>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</si>
  <si>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</si>
  <si>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</si>
  <si>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</si>
  <si>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</si>
  <si>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</si>
  <si>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</si>
  <si>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</si>
  <si>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</si>
  <si>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</si>
  <si>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</si>
  <si>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</si>
  <si>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</si>
  <si>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</si>
  <si>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</si>
  <si>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</si>
  <si>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</si>
  <si>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</si>
  <si>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</si>
  <si>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</si>
  <si>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</si>
  <si>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</si>
  <si>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</si>
  <si>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</si>
  <si>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</si>
  <si>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</si>
  <si>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</si>
  <si>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</si>
  <si>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</si>
  <si>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</si>
  <si>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</si>
  <si>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</si>
  <si>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</si>
  <si>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</si>
  <si>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</si>
  <si>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</si>
  <si>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</si>
  <si>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</si>
  <si>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</si>
  <si>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</si>
  <si>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</si>
  <si>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</si>
  <si>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</si>
  <si>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</si>
  <si>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</si>
  <si>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</si>
  <si>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</si>
  <si>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</si>
  <si>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</si>
  <si>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</si>
  <si>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</si>
  <si>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</si>
  <si>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</si>
  <si>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</si>
  <si>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</si>
  <si>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</si>
  <si>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</si>
  <si>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</si>
  <si>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</si>
  <si>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</si>
  <si>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</si>
  <si>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</si>
  <si>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</si>
  <si>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</si>
  <si>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</si>
  <si>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</si>
  <si>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</si>
  <si>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</si>
  <si>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</si>
  <si>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</si>
  <si>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</si>
  <si>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</si>
  <si>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</si>
  <si>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</si>
  <si>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</si>
  <si>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</si>
  <si>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</si>
  <si>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</si>
  <si>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</si>
  <si>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</si>
  <si>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</si>
  <si>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</si>
  <si>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</si>
  <si>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</si>
  <si>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</si>
  <si>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</si>
  <si>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</si>
  <si>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</si>
  <si>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</si>
  <si>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</si>
  <si>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</si>
  <si>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</si>
  <si>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</si>
  <si>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</si>
  <si>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</si>
  <si>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</si>
  <si>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</si>
  <si>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</si>
  <si>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</si>
  <si>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</si>
  <si>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</si>
  <si>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</si>
  <si>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</si>
  <si>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</si>
  <si>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</si>
  <si>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</si>
  <si>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</si>
  <si>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</si>
  <si>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</si>
  <si>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</si>
  <si>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</si>
  <si>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</si>
  <si>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</si>
  <si>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</si>
  <si>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</si>
  <si>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</si>
  <si>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</si>
  <si>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</si>
  <si>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</si>
  <si>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</si>
  <si>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</si>
  <si>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</si>
  <si>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</si>
  <si>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</si>
  <si>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</si>
  <si>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</si>
  <si>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</si>
  <si>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</si>
  <si>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</si>
  <si>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</si>
  <si>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</si>
  <si>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</si>
  <si>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</si>
  <si>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</si>
  <si>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</si>
  <si>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</si>
  <si>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</si>
  <si>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</si>
  <si>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</si>
  <si>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</si>
  <si>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</si>
  <si>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</si>
  <si>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</si>
  <si>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</si>
  <si>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</si>
  <si>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</si>
  <si>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</si>
  <si>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</si>
  <si>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</si>
  <si>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</si>
  <si>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</si>
  <si>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</si>
  <si>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</si>
  <si>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</si>
  <si>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</si>
  <si>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</si>
  <si>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</si>
  <si>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</si>
  <si>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</si>
  <si>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</si>
  <si>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</si>
  <si>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</si>
  <si>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</si>
  <si>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</si>
  <si>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</si>
  <si>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</si>
  <si>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</si>
  <si>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</si>
  <si>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</si>
  <si>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</si>
  <si>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</si>
  <si>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</si>
  <si>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</si>
  <si>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</si>
  <si>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</si>
  <si>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</si>
  <si>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</si>
  <si>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</si>
  <si>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</si>
  <si>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</si>
  <si>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</si>
  <si>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</si>
  <si>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</si>
  <si>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</si>
  <si>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</si>
  <si>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</si>
  <si>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</si>
  <si>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</si>
  <si>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</si>
  <si>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</si>
  <si>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</si>
  <si>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</si>
  <si>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</si>
  <si>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</si>
  <si>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</si>
  <si>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</si>
  <si>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</si>
  <si>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</si>
  <si>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</si>
  <si>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</si>
  <si>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</si>
  <si>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</si>
  <si>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</si>
  <si>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</si>
  <si>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</si>
  <si>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</si>
  <si>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</si>
  <si>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</si>
  <si>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</si>
  <si>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</si>
  <si>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</si>
  <si>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</si>
  <si>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</si>
  <si>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</si>
  <si>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</si>
  <si>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</si>
  <si>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</si>
  <si>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</si>
  <si>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</si>
  <si>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</si>
  <si>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</si>
  <si>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</si>
  <si>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</si>
  <si>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</si>
  <si>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</si>
  <si>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</si>
  <si>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</si>
  <si>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</si>
  <si>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</si>
  <si>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</si>
  <si>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</si>
  <si>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</si>
  <si>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</si>
  <si>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</si>
  <si>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</si>
  <si>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</si>
  <si>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</si>
  <si>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</si>
  <si>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</si>
  <si>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</si>
  <si>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</si>
  <si>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</si>
  <si>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</si>
  <si>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</si>
  <si>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</si>
  <si>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</si>
  <si>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</si>
  <si>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</si>
  <si>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</si>
  <si>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</si>
  <si>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</si>
  <si>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</si>
  <si>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</si>
  <si>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</si>
  <si>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</si>
  <si>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</si>
  <si>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</si>
  <si>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</si>
  <si>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</si>
  <si>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</si>
  <si>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</si>
  <si>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</si>
  <si>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</si>
  <si>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</si>
  <si>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</si>
  <si>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</si>
  <si>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</si>
  <si>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</si>
  <si>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</si>
  <si>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</si>
  <si>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</si>
  <si>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</si>
  <si>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</si>
  <si>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</si>
  <si>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</si>
  <si>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</si>
  <si>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</si>
  <si>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</si>
  <si>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</si>
  <si>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</si>
  <si>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</si>
  <si>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</si>
  <si>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</si>
  <si>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</si>
  <si>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</si>
  <si>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</si>
  <si>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</si>
  <si>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</si>
  <si>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</si>
  <si>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</si>
  <si>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</si>
  <si>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</si>
  <si>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</si>
  <si>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</si>
  <si>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</si>
  <si>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</si>
  <si>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</si>
  <si>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</si>
  <si>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</si>
  <si>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</si>
  <si>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</si>
  <si>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</si>
  <si>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</si>
  <si>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</si>
  <si>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</si>
  <si>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</si>
  <si>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</si>
  <si>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</si>
  <si>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</si>
  <si>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</si>
  <si>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</si>
  <si>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</si>
  <si>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</si>
  <si>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</si>
  <si>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</si>
  <si>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</si>
  <si>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</si>
  <si>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</si>
  <si>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</si>
  <si>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</si>
  <si>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</si>
  <si>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</si>
  <si>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</si>
  <si>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</si>
  <si>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</si>
  <si>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</si>
  <si>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</si>
  <si>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</si>
  <si>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</si>
  <si>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</si>
  <si>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</si>
  <si>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</si>
  <si>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</si>
  <si>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</si>
  <si>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</si>
  <si>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</si>
  <si>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</si>
  <si>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</si>
  <si>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</si>
  <si>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</si>
  <si>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</si>
  <si>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</si>
  <si>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</si>
  <si>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</si>
  <si>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</si>
  <si>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</si>
  <si>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</si>
  <si>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</si>
  <si>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</si>
  <si>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</si>
  <si>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</si>
  <si>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</si>
  <si>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</si>
  <si>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</si>
  <si>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</si>
  <si>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</si>
  <si>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</si>
  <si>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</si>
  <si>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</si>
  <si>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</si>
  <si>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</si>
  <si>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</si>
  <si>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</si>
  <si>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</si>
  <si>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</si>
  <si>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</si>
  <si>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</si>
  <si>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</si>
  <si>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</si>
  <si>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</si>
  <si>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</si>
  <si>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</si>
  <si>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</si>
  <si>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</si>
  <si>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</si>
  <si>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</si>
  <si>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</si>
  <si>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</si>
  <si>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</si>
  <si>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</si>
  <si>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</si>
  <si>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</si>
  <si>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</si>
  <si>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</si>
  <si>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</si>
  <si>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</si>
  <si>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</si>
  <si>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</si>
  <si>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</si>
  <si>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</si>
  <si>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</si>
  <si>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</si>
  <si>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</si>
  <si>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</si>
  <si>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</si>
  <si>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</si>
  <si>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</si>
  <si>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</si>
  <si>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</si>
  <si>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</si>
  <si>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</si>
  <si>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</si>
  <si>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</si>
  <si>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</si>
  <si>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</si>
  <si>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</si>
  <si>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</si>
  <si>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</si>
  <si>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</si>
  <si>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</si>
  <si>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</si>
  <si>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</si>
  <si>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</si>
  <si>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</si>
  <si>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</si>
  <si>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</si>
  <si>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</si>
  <si>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</si>
  <si>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</si>
  <si>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</si>
  <si>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</si>
  <si>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</si>
  <si>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</si>
  <si>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</si>
  <si>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</si>
  <si>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</si>
  <si>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</si>
  <si>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</si>
  <si>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</si>
  <si>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</si>
  <si>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</si>
  <si>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</si>
  <si>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</si>
  <si>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</si>
  <si>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</si>
  <si>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</si>
  <si>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</si>
  <si>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</si>
  <si>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</si>
  <si>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</si>
  <si>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</si>
  <si>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</si>
  <si>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</si>
  <si>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</si>
  <si>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</si>
  <si>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</si>
  <si>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</si>
  <si>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</si>
  <si>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</si>
  <si>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</si>
  <si>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</si>
  <si>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</si>
  <si>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</si>
  <si>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</si>
  <si>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</si>
  <si>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</si>
  <si>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</si>
  <si>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</si>
  <si>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</si>
  <si>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</si>
  <si>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</si>
  <si>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</si>
  <si>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</si>
  <si>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</si>
  <si>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</si>
  <si>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</si>
  <si>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</si>
  <si>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</si>
  <si>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</si>
  <si>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</si>
  <si>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</si>
  <si>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</si>
  <si>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</si>
  <si>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</si>
  <si>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</si>
  <si>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</si>
  <si>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</si>
  <si>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</si>
  <si>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</si>
  <si>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</si>
  <si>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</si>
  <si>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</si>
  <si>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</si>
  <si>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</si>
  <si>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</si>
  <si>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</si>
  <si>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</si>
  <si>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</si>
  <si>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</si>
  <si>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</si>
  <si>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</si>
  <si>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</si>
  <si>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</si>
  <si>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</si>
  <si>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</si>
  <si>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</si>
  <si>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</si>
  <si>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</si>
  <si>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</si>
  <si>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</si>
  <si>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</si>
  <si>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</si>
  <si>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</si>
  <si>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</si>
  <si>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</si>
  <si>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</si>
  <si>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</si>
  <si>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</si>
  <si>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</si>
  <si>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</si>
  <si>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</si>
  <si>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</si>
  <si>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</si>
  <si>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</si>
  <si>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</si>
  <si>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</si>
  <si>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</si>
  <si>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</si>
  <si>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</si>
  <si>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</si>
  <si>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</si>
  <si>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</si>
  <si>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</si>
  <si>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</si>
  <si>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</si>
  <si>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</si>
  <si>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</si>
  <si>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</si>
  <si>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</si>
  <si>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</si>
  <si>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</si>
  <si>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</si>
  <si>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</si>
  <si>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</si>
  <si>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</si>
  <si>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</si>
  <si>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</si>
  <si>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</si>
  <si>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</si>
  <si>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</si>
  <si>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</si>
  <si>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</si>
  <si>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</si>
  <si>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</si>
  <si>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</si>
  <si>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</si>
  <si>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</si>
  <si>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</si>
  <si>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</si>
  <si>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</si>
  <si>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</si>
  <si>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</si>
  <si>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</si>
  <si>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</si>
  <si>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</si>
  <si>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</si>
  <si>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</si>
  <si>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</si>
  <si>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</si>
  <si>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</si>
  <si>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</si>
  <si>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</si>
  <si>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</si>
  <si>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</si>
  <si>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</si>
  <si>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</si>
  <si>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</si>
  <si>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</si>
  <si>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</si>
  <si>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</si>
  <si>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</si>
  <si>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</si>
  <si>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</si>
  <si>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</si>
  <si>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</si>
  <si>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</si>
  <si>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</si>
  <si>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</si>
  <si>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</si>
  <si>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</si>
  <si>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</si>
  <si>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</si>
  <si>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</si>
  <si>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</si>
  <si>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</si>
  <si>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</si>
  <si>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</si>
  <si>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</si>
  <si>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</si>
  <si>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</si>
  <si>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</si>
  <si>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</si>
  <si>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</si>
  <si>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</si>
  <si>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</si>
  <si>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</si>
  <si>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</si>
  <si>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</si>
  <si>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</si>
  <si>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</si>
  <si>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</si>
  <si>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</si>
  <si>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</si>
  <si>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</si>
  <si>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</si>
  <si>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</si>
  <si>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</si>
  <si>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</si>
  <si>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</si>
  <si>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</si>
  <si>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</si>
  <si>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</si>
  <si>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</si>
  <si>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</si>
  <si>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</si>
  <si>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</si>
  <si>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</si>
  <si>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</si>
  <si>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</si>
  <si>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</si>
  <si>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</si>
  <si>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</si>
  <si>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</si>
  <si>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</si>
  <si>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</si>
  <si>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</si>
  <si>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</si>
  <si>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</si>
  <si>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</si>
  <si>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</si>
  <si>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</si>
  <si>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</si>
  <si>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</si>
  <si>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</si>
  <si>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</si>
  <si>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</si>
  <si>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</si>
  <si>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</si>
  <si>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</si>
  <si>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</si>
  <si>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</si>
  <si>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</si>
  <si>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</si>
  <si>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</si>
  <si>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</si>
  <si>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</si>
  <si>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</si>
  <si>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</si>
  <si>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</si>
  <si>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</si>
  <si>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</si>
  <si>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</si>
  <si>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</si>
  <si>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</si>
  <si>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</si>
  <si>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</si>
  <si>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</si>
  <si>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</si>
  <si>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</si>
  <si>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</si>
  <si>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</si>
  <si>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</si>
  <si>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</si>
  <si>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</si>
  <si>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</si>
  <si>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</si>
  <si>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</si>
  <si>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</si>
  <si>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</si>
  <si>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</si>
  <si>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</si>
  <si>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</si>
  <si>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</si>
  <si>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</si>
  <si>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</si>
  <si>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</si>
  <si>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</si>
  <si>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</si>
  <si>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</si>
  <si>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</si>
  <si>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</si>
  <si>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</si>
  <si>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</si>
  <si>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</si>
  <si>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</si>
  <si>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</si>
  <si>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</si>
  <si>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</si>
  <si>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</si>
  <si>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</si>
  <si>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</si>
  <si>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</si>
  <si>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</si>
  <si>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</si>
  <si>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</si>
  <si>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</si>
  <si>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</si>
  <si>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</si>
  <si>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</si>
  <si>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</si>
  <si>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</si>
  <si>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</si>
  <si>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</si>
  <si>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</si>
  <si>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</si>
  <si>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</si>
  <si>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</si>
  <si>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</si>
  <si>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</si>
  <si>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</si>
  <si>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</si>
  <si>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</si>
  <si>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</si>
  <si>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</si>
  <si>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</si>
  <si>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</si>
  <si>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</si>
  <si>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</si>
  <si>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</si>
  <si>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</si>
  <si>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</si>
  <si>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</si>
  <si>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</si>
  <si>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</si>
  <si>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</si>
  <si>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</si>
  <si>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</si>
  <si>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</si>
  <si>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</si>
  <si>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</si>
  <si>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</si>
  <si>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</si>
  <si>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</si>
  <si>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</si>
  <si>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</si>
  <si>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</si>
  <si>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</si>
  <si>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</si>
  <si>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</si>
  <si>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</si>
  <si>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</si>
  <si>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</si>
  <si>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</si>
  <si>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</si>
  <si>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</si>
  <si>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</si>
  <si>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</si>
  <si>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</si>
  <si>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</si>
  <si>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</si>
  <si>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</si>
  <si>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</si>
  <si>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</si>
  <si>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</si>
  <si>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</si>
  <si>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</si>
  <si>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</si>
  <si>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</si>
  <si>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</si>
  <si>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</si>
  <si>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</si>
  <si>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</si>
  <si>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</si>
  <si>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</si>
  <si>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</si>
  <si>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</si>
  <si>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</si>
  <si>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</si>
  <si>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</si>
  <si>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</si>
  <si>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</si>
  <si>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</si>
  <si>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</si>
  <si>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</si>
  <si>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</si>
  <si>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</si>
  <si>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</si>
  <si>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</si>
  <si>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</si>
  <si>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</si>
  <si>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</si>
  <si>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</si>
  <si>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</si>
  <si>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</si>
  <si>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</si>
  <si>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</si>
  <si>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</si>
  <si>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</si>
  <si>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</si>
  <si>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</si>
  <si>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</si>
  <si>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</si>
  <si>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</si>
  <si>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</si>
  <si>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</si>
  <si>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</si>
  <si>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</si>
  <si>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</si>
  <si>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</si>
  <si>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</si>
  <si>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</si>
  <si>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</si>
  <si>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</si>
  <si>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</si>
  <si>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</si>
  <si>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</si>
  <si>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</si>
  <si>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</si>
  <si>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</si>
  <si>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</si>
  <si>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</si>
  <si>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</si>
  <si>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</si>
  <si>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</si>
  <si>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</si>
  <si>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</si>
  <si>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</si>
  <si>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</si>
  <si>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</si>
  <si>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</si>
  <si>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</si>
  <si>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</si>
  <si>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</si>
  <si>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</si>
  <si>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</si>
  <si>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</si>
  <si>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</si>
  <si>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</si>
  <si>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</si>
  <si>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</si>
  <si>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</si>
  <si>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</si>
  <si>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</si>
  <si>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</si>
  <si>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</si>
  <si>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</si>
  <si>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</si>
  <si>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</si>
  <si>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</si>
  <si>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</si>
  <si>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</si>
  <si>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</si>
  <si>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</si>
  <si>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</si>
  <si>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</si>
  <si>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</si>
  <si>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</si>
  <si>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</si>
  <si>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</si>
  <si>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</si>
  <si>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</si>
  <si>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</si>
  <si>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</si>
  <si>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</si>
  <si>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</si>
  <si>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</si>
  <si>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</si>
  <si>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</si>
  <si>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</si>
  <si>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</si>
  <si>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</si>
  <si>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</si>
  <si>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</si>
  <si>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</si>
  <si>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</si>
  <si>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</si>
  <si>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</si>
  <si>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</si>
  <si>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</si>
  <si>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</si>
  <si>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</si>
  <si>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</si>
  <si>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</si>
  <si>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</si>
  <si>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</si>
  <si>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</si>
  <si>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</si>
  <si>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</si>
  <si>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</si>
  <si>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</si>
  <si>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</si>
  <si>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</si>
  <si>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</si>
  <si>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</si>
  <si>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</si>
  <si>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</si>
  <si>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</si>
  <si>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</si>
  <si>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</si>
  <si>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</si>
  <si>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</si>
  <si>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</si>
  <si>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</si>
  <si>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</si>
  <si>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</si>
  <si>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</si>
  <si>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</si>
  <si>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</si>
  <si>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</si>
  <si>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</si>
  <si>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</si>
  <si>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</si>
  <si>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</si>
  <si>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</si>
  <si>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</si>
  <si>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</si>
  <si>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</si>
  <si>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</si>
  <si>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</si>
  <si>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</si>
  <si>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DateOfListing</t>
  </si>
  <si>
    <t>No. of Shares Underlying Outstanding Warrants (Xi)</t>
  </si>
  <si>
    <t>FCCB</t>
  </si>
  <si>
    <t>Foreign Portfolio Investors (Category III)</t>
  </si>
  <si>
    <t>Foreign Individuals</t>
  </si>
  <si>
    <t>NRI – Repat</t>
  </si>
  <si>
    <t>NRI – Non- Repat</t>
  </si>
  <si>
    <t/>
  </si>
  <si>
    <t xml:space="preserve">Note : Kindly show details of shareholders having more than one percentage of total no of shares. Please refer software manual. </t>
  </si>
  <si>
    <t>ISHAAN INFRASTRUCTURES &amp; SHELTERS LIMITED</t>
  </si>
  <si>
    <t>30-06-2017</t>
  </si>
  <si>
    <t>RAMESH CHHOTALAL SHAH</t>
  </si>
  <si>
    <t>ANYPS7358G</t>
  </si>
  <si>
    <t>SANJAY RAMESHBHAI SHAH</t>
  </si>
  <si>
    <t>ANYPS3202K</t>
  </si>
  <si>
    <t>NEELAM KALPEN SHAH</t>
  </si>
  <si>
    <t>ANDPS2802G</t>
  </si>
  <si>
    <t>ISHAAN SHAH</t>
  </si>
  <si>
    <t>BFZPS9000M</t>
  </si>
  <si>
    <t>PRADIP SHAH</t>
  </si>
  <si>
    <t>AFQPS0107P</t>
  </si>
  <si>
    <t>AASHKA K SHAH</t>
  </si>
  <si>
    <t>BSDPS9331L</t>
  </si>
  <si>
    <t>BHANSALI VALUE CREATIONS PRIVATE LI</t>
  </si>
  <si>
    <t>AAECB3879K</t>
  </si>
  <si>
    <t>RUDRA SHARES &amp; STOCK BROKERS LIMITE</t>
  </si>
  <si>
    <t>AADCG1458J</t>
  </si>
  <si>
    <t>ASE CAPITAL MARKETS LTD.</t>
  </si>
  <si>
    <t>AADCA4629D</t>
  </si>
  <si>
    <t>EMOTION SHARES &amp; SECURITIES PVT LTD</t>
  </si>
  <si>
    <t>AADCE7242A</t>
  </si>
  <si>
    <t>SONAM PANKAJKUMAR SHAH</t>
  </si>
  <si>
    <t>BGDPS9476G</t>
  </si>
  <si>
    <t>MOULIN SAMIR SHAH</t>
  </si>
  <si>
    <t>BRKPS5663P</t>
  </si>
  <si>
    <t>HEMANT RAJENDRA SHAH</t>
  </si>
  <si>
    <t>AOQPS5805K</t>
  </si>
  <si>
    <t>SHAH KENUL HEMANTKUMAR</t>
  </si>
  <si>
    <t>EEFPS9765R</t>
  </si>
  <si>
    <t>RAJVI J SHAH</t>
  </si>
  <si>
    <t>PATEL AMBALAL CHIMANLAL</t>
  </si>
  <si>
    <t>DHRUMA JIGAR SHAH</t>
  </si>
  <si>
    <t>PRAKASH AMBALAL PATEL</t>
  </si>
  <si>
    <t>JIGAR JASHVAVANTLAL SHAH</t>
  </si>
  <si>
    <t>MAHENDRA MAFATLAL SHAH</t>
  </si>
  <si>
    <t>080097110032087105108108032080114111118105101100032083117114101108121032073110032078101120116032081117097116101114046</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</si>
</sst>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3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164"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508">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0" fontId="0" fillId="11" borderId="21" xfId="0" applyFill="1" applyBorder="1" applyAlignment="1" applyProtection="1">
      <alignment horizontal="right"/>
      <protection hidden="1"/>
    </xf>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0" fontId="0" fillId="14"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6" borderId="4" xfId="4" applyNumberFormat="1" applyFont="1" applyFill="1" applyBorder="1" applyAlignment="1">
      <alignment horizontal="center" vertical="center" wrapText="1"/>
    </xf>
    <xf numFmtId="0" fontId="22" fillId="17" borderId="0" xfId="4" applyFont="1" applyFill="1" applyBorder="1" applyAlignment="1">
      <alignment vertical="center" wrapText="1"/>
    </xf>
    <xf numFmtId="0" fontId="15" fillId="17" borderId="0" xfId="3" applyFill="1" applyBorder="1" applyAlignment="1" applyProtection="1">
      <alignment vertical="center" wrapText="1"/>
    </xf>
    <xf numFmtId="0" fontId="21" fillId="17" borderId="4" xfId="5" applyFont="1" applyFill="1" applyBorder="1" applyAlignment="1">
      <alignment horizontal="center" vertical="center" wrapText="1"/>
    </xf>
    <xf numFmtId="0" fontId="15" fillId="17" borderId="13" xfId="3" applyFill="1" applyBorder="1" applyAlignment="1" applyProtection="1">
      <alignment vertical="center" wrapText="1"/>
    </xf>
    <xf numFmtId="0" fontId="21" fillId="17" borderId="0" xfId="5" applyFont="1" applyFill="1" applyBorder="1" applyAlignment="1">
      <alignment horizontal="justify" vertical="center" wrapText="1"/>
    </xf>
    <xf numFmtId="0" fontId="15" fillId="17" borderId="0" xfId="3" applyFill="1" applyBorder="1" applyAlignment="1" applyProtection="1">
      <alignment horizontal="justify" vertical="center" wrapText="1"/>
    </xf>
    <xf numFmtId="0" fontId="2" fillId="17"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8" borderId="0" xfId="0" applyFill="1"/>
    <xf numFmtId="0" fontId="0" fillId="18" borderId="0" xfId="0" applyFont="1" applyFill="1"/>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5" xfId="0" applyNumberFormat="1" applyFill="1" applyBorder="1" applyAlignment="1" applyProtection="1">
      <alignment horizontal="right" vertical="center"/>
      <protection hidden="1"/>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4" borderId="4" xfId="0" applyFill="1" applyBorder="1" applyAlignment="1" applyProtection="1">
      <alignment horizontal="left"/>
    </xf>
    <xf numFmtId="0" fontId="26" fillId="0" borderId="0" xfId="0" applyFont="1" applyAlignment="1">
      <alignment horizontal="right"/>
    </xf>
    <xf numFmtId="0" fontId="26"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65" fontId="0" fillId="8" borderId="5" xfId="0" applyNumberFormat="1" applyFill="1" applyBorder="1" applyAlignment="1" applyProtection="1">
      <alignment horizontal="right"/>
      <protection locked="0"/>
    </xf>
    <xf numFmtId="2" fontId="0" fillId="8" borderId="20" xfId="0" applyNumberFormat="1" applyFill="1" applyBorder="1" applyAlignment="1" applyProtection="1">
      <alignment horizontal="right"/>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7" fillId="0" borderId="11" xfId="0" applyFont="1" applyBorder="1" applyAlignment="1"/>
    <xf numFmtId="0" fontId="27" fillId="0" borderId="12" xfId="0" applyFont="1" applyBorder="1" applyAlignment="1"/>
    <xf numFmtId="0" fontId="27" fillId="0" borderId="13" xfId="0" applyFont="1" applyBorder="1" applyAlignment="1"/>
    <xf numFmtId="0" fontId="27" fillId="0" borderId="0" xfId="0" applyFont="1"/>
    <xf numFmtId="0" fontId="28" fillId="7" borderId="12" xfId="0" applyFont="1" applyFill="1" applyBorder="1" applyAlignment="1">
      <alignment vertical="center" wrapText="1"/>
    </xf>
    <xf numFmtId="0" fontId="28"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9" fillId="7" borderId="24" xfId="0" applyFont="1" applyFill="1" applyBorder="1" applyAlignment="1">
      <alignment vertical="center"/>
    </xf>
    <xf numFmtId="49" fontId="3" fillId="7" borderId="25" xfId="0" applyNumberFormat="1" applyFont="1" applyFill="1" applyBorder="1" applyAlignment="1">
      <alignment horizontal="center" vertical="center"/>
    </xf>
    <xf numFmtId="49" fontId="0" fillId="14" borderId="15" xfId="0" applyNumberFormat="1" applyFill="1" applyBorder="1" applyAlignment="1" applyProtection="1">
      <alignment horizontal="center" vertical="center"/>
    </xf>
    <xf numFmtId="0" fontId="0" fillId="14" borderId="4" xfId="0" applyFill="1" applyBorder="1" applyAlignment="1" applyProtection="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5" fontId="0" fillId="14" borderId="4" xfId="0" applyNumberFormat="1" applyFill="1" applyBorder="1" applyAlignment="1" applyProtection="1">
      <alignment horizontal="right"/>
    </xf>
    <xf numFmtId="165"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Protection="1">
      <protection locked="0"/>
    </xf>
    <xf numFmtId="165" fontId="0" fillId="11" borderId="4" xfId="0" applyNumberFormat="1" applyFill="1" applyBorder="1" applyAlignment="1" applyProtection="1">
      <alignment horizontal="right"/>
      <protection hidden="1"/>
    </xf>
    <xf numFmtId="0" fontId="21" fillId="17" borderId="6" xfId="5" applyNumberFormat="1" applyFont="1" applyFill="1" applyBorder="1" applyAlignment="1">
      <alignment horizontal="justify" vertical="center"/>
    </xf>
    <xf numFmtId="0" fontId="21" fillId="17" borderId="0" xfId="5" applyNumberFormat="1" applyFont="1" applyFill="1" applyBorder="1" applyAlignment="1">
      <alignment horizontal="justify" vertical="center"/>
    </xf>
    <xf numFmtId="0" fontId="21" fillId="17" borderId="7" xfId="5" applyNumberFormat="1" applyFont="1" applyFill="1" applyBorder="1" applyAlignment="1">
      <alignment horizontal="justify" vertical="center"/>
    </xf>
    <xf numFmtId="0" fontId="17" fillId="15" borderId="11" xfId="4" applyFont="1" applyFill="1" applyBorder="1" applyAlignment="1">
      <alignment vertical="center" wrapText="1"/>
    </xf>
    <xf numFmtId="0" fontId="17" fillId="15" borderId="12" xfId="4" applyFont="1" applyFill="1" applyBorder="1" applyAlignment="1">
      <alignment vertical="center" wrapText="1"/>
    </xf>
    <xf numFmtId="0" fontId="17" fillId="15" borderId="13" xfId="4" applyFont="1" applyFill="1" applyBorder="1" applyAlignment="1">
      <alignment vertical="center" wrapText="1"/>
    </xf>
    <xf numFmtId="0" fontId="15" fillId="0" borderId="11" xfId="3" applyBorder="1" applyAlignment="1" applyProtection="1">
      <alignment vertical="center"/>
    </xf>
    <xf numFmtId="0" fontId="15" fillId="0" borderId="12" xfId="3" applyBorder="1" applyAlignment="1" applyProtection="1"/>
    <xf numFmtId="0" fontId="15" fillId="0" borderId="13" xfId="3" applyBorder="1" applyAlignment="1" applyProtection="1"/>
    <xf numFmtId="0" fontId="15" fillId="0" borderId="12" xfId="3" applyBorder="1" applyAlignment="1" applyProtection="1">
      <alignment vertical="center"/>
    </xf>
    <xf numFmtId="0" fontId="15" fillId="0" borderId="13" xfId="3" applyBorder="1" applyAlignment="1" applyProtection="1">
      <alignment vertical="center"/>
    </xf>
    <xf numFmtId="0" fontId="19" fillId="15" borderId="11" xfId="4" applyFont="1" applyFill="1" applyBorder="1" applyAlignment="1">
      <alignment horizontal="center" vertical="center" wrapText="1"/>
    </xf>
    <xf numFmtId="0" fontId="20" fillId="15" borderId="12" xfId="4" applyFont="1" applyFill="1" applyBorder="1" applyAlignment="1">
      <alignment horizontal="center" vertical="center" wrapText="1"/>
    </xf>
    <xf numFmtId="0" fontId="20" fillId="15" borderId="13" xfId="4" applyFont="1" applyFill="1" applyBorder="1" applyAlignment="1">
      <alignment horizontal="center" vertical="center" wrapText="1"/>
    </xf>
    <xf numFmtId="0" fontId="21" fillId="17" borderId="1" xfId="4" applyNumberFormat="1" applyFont="1" applyFill="1" applyBorder="1" applyAlignment="1">
      <alignment horizontal="justify" vertical="center" wrapText="1"/>
    </xf>
    <xf numFmtId="0" fontId="21" fillId="17" borderId="8" xfId="4" applyNumberFormat="1" applyFont="1" applyFill="1" applyBorder="1" applyAlignment="1">
      <alignment horizontal="justify" vertical="center" wrapText="1"/>
    </xf>
    <xf numFmtId="0" fontId="24" fillId="15" borderId="11" xfId="5" applyFont="1" applyFill="1" applyBorder="1" applyAlignment="1">
      <alignment horizontal="center" vertical="center" wrapText="1"/>
    </xf>
    <xf numFmtId="0" fontId="24" fillId="15" borderId="12" xfId="5" applyFont="1" applyFill="1" applyBorder="1" applyAlignment="1">
      <alignment horizontal="center" vertical="center" wrapText="1"/>
    </xf>
    <xf numFmtId="0" fontId="24" fillId="15" borderId="13" xfId="5" applyFont="1" applyFill="1" applyBorder="1" applyAlignment="1">
      <alignment horizontal="center" vertical="center" wrapText="1"/>
    </xf>
    <xf numFmtId="0" fontId="21" fillId="16" borderId="6" xfId="5" applyFont="1" applyFill="1" applyBorder="1" applyAlignment="1">
      <alignment horizontal="justify" vertical="center" wrapText="1"/>
    </xf>
    <xf numFmtId="0" fontId="21" fillId="16" borderId="0" xfId="5" applyFont="1" applyFill="1" applyBorder="1" applyAlignment="1">
      <alignment horizontal="justify" vertical="center"/>
    </xf>
    <xf numFmtId="0" fontId="21" fillId="16" borderId="7" xfId="5" applyFont="1" applyFill="1" applyBorder="1" applyAlignment="1">
      <alignment horizontal="justify" vertical="center"/>
    </xf>
    <xf numFmtId="0" fontId="21" fillId="16" borderId="6" xfId="5" applyFont="1" applyFill="1" applyBorder="1" applyAlignment="1">
      <alignment horizontal="left" vertical="center" wrapText="1"/>
    </xf>
    <xf numFmtId="0" fontId="21" fillId="16" borderId="0" xfId="5" applyFont="1" applyFill="1" applyBorder="1" applyAlignment="1">
      <alignment horizontal="left" vertical="center" wrapText="1"/>
    </xf>
    <xf numFmtId="0" fontId="21" fillId="16" borderId="7" xfId="5" applyFont="1" applyFill="1" applyBorder="1" applyAlignment="1">
      <alignment horizontal="left" vertical="center" wrapText="1"/>
    </xf>
    <xf numFmtId="0" fontId="21" fillId="17" borderId="11" xfId="5" applyFont="1" applyFill="1" applyBorder="1" applyAlignment="1">
      <alignment horizontal="left" vertical="center"/>
    </xf>
    <xf numFmtId="0" fontId="21" fillId="17" borderId="12" xfId="5" applyFont="1" applyFill="1" applyBorder="1" applyAlignment="1">
      <alignment horizontal="left" vertical="center"/>
    </xf>
    <xf numFmtId="0" fontId="21" fillId="17" borderId="9" xfId="5" applyFont="1" applyFill="1" applyBorder="1" applyAlignment="1">
      <alignment horizontal="justify" vertical="center" wrapText="1"/>
    </xf>
    <xf numFmtId="0" fontId="21" fillId="17" borderId="17" xfId="5" applyFont="1" applyFill="1" applyBorder="1" applyAlignment="1">
      <alignment horizontal="justify" vertical="center" wrapText="1"/>
    </xf>
    <xf numFmtId="0" fontId="21" fillId="17" borderId="10" xfId="5" applyFont="1" applyFill="1" applyBorder="1" applyAlignment="1">
      <alignment horizontal="justify" vertical="center" wrapText="1"/>
    </xf>
    <xf numFmtId="0" fontId="24" fillId="15" borderId="11" xfId="5" applyFont="1" applyFill="1" applyBorder="1" applyAlignment="1">
      <alignment horizontal="center" vertical="center"/>
    </xf>
    <xf numFmtId="0" fontId="24" fillId="15" borderId="12" xfId="5" applyFont="1" applyFill="1" applyBorder="1" applyAlignment="1">
      <alignment horizontal="center" vertical="center"/>
    </xf>
    <xf numFmtId="0" fontId="24" fillId="15" borderId="13" xfId="5" applyFont="1" applyFill="1" applyBorder="1" applyAlignment="1">
      <alignment horizontal="center" vertical="center"/>
    </xf>
    <xf numFmtId="0" fontId="21" fillId="16" borderId="4" xfId="5" applyFont="1" applyFill="1" applyBorder="1" applyAlignment="1">
      <alignment horizontal="justify" vertical="center"/>
    </xf>
    <xf numFmtId="0" fontId="25" fillId="16" borderId="2" xfId="5" applyFont="1" applyFill="1" applyBorder="1" applyAlignment="1">
      <alignment horizontal="justify" vertical="top" wrapText="1"/>
    </xf>
    <xf numFmtId="0" fontId="25" fillId="16" borderId="33" xfId="5" applyFont="1" applyFill="1" applyBorder="1" applyAlignment="1">
      <alignment horizontal="justify" vertical="top" wrapText="1"/>
    </xf>
    <xf numFmtId="0" fontId="25" fillId="16" borderId="3" xfId="5" applyFont="1" applyFill="1" applyBorder="1" applyAlignment="1">
      <alignment horizontal="justify" vertical="top" wrapText="1"/>
    </xf>
    <xf numFmtId="0" fontId="25" fillId="16" borderId="2" xfId="5" applyFont="1" applyFill="1" applyBorder="1" applyAlignment="1">
      <alignment horizontal="justify" vertical="center" wrapText="1"/>
    </xf>
    <xf numFmtId="0" fontId="25" fillId="16" borderId="33" xfId="5" applyFont="1" applyFill="1" applyBorder="1" applyAlignment="1">
      <alignment horizontal="justify" vertical="center" wrapText="1"/>
    </xf>
    <xf numFmtId="0" fontId="25" fillId="16" borderId="3" xfId="5" applyFont="1" applyFill="1" applyBorder="1" applyAlignment="1">
      <alignment horizontal="justify" vertical="center" wrapText="1"/>
    </xf>
    <xf numFmtId="0" fontId="21" fillId="16" borderId="0" xfId="5" applyFont="1" applyFill="1" applyBorder="1" applyAlignment="1">
      <alignment horizontal="justify" vertical="center" wrapText="1"/>
    </xf>
    <xf numFmtId="0" fontId="21" fillId="16" borderId="7" xfId="5" applyFont="1" applyFill="1" applyBorder="1" applyAlignment="1">
      <alignment horizontal="justify" vertical="center" wrapText="1"/>
    </xf>
    <xf numFmtId="0" fontId="21" fillId="16" borderId="2" xfId="5" applyFont="1" applyFill="1" applyBorder="1" applyAlignment="1">
      <alignment horizontal="justify" vertical="center" wrapText="1"/>
    </xf>
    <xf numFmtId="0" fontId="21" fillId="16" borderId="33" xfId="5" applyFont="1" applyFill="1" applyBorder="1" applyAlignment="1">
      <alignment horizontal="justify" vertical="center" wrapText="1"/>
    </xf>
    <xf numFmtId="0" fontId="21" fillId="16" borderId="3" xfId="5" applyFont="1" applyFill="1" applyBorder="1" applyAlignment="1">
      <alignment horizontal="justify" vertical="center" wrapText="1"/>
    </xf>
    <xf numFmtId="0" fontId="21" fillId="16" borderId="11" xfId="5" applyFont="1" applyFill="1" applyBorder="1" applyAlignment="1">
      <alignment horizontal="justify" vertical="center" wrapText="1"/>
    </xf>
    <xf numFmtId="0" fontId="21" fillId="16" borderId="12" xfId="5" applyFont="1" applyFill="1" applyBorder="1" applyAlignment="1">
      <alignment horizontal="justify" vertical="center" wrapText="1"/>
    </xf>
    <xf numFmtId="0" fontId="21" fillId="16" borderId="13" xfId="5" applyFont="1" applyFill="1" applyBorder="1" applyAlignment="1">
      <alignment horizontal="justify" vertical="center" wrapText="1"/>
    </xf>
    <xf numFmtId="0" fontId="21" fillId="17" borderId="4" xfId="5" applyNumberFormat="1" applyFont="1" applyFill="1" applyBorder="1" applyAlignment="1">
      <alignment horizontal="justify" vertical="center"/>
    </xf>
    <xf numFmtId="0" fontId="21" fillId="16" borderId="4" xfId="5" applyFont="1" applyFill="1" applyBorder="1" applyAlignment="1">
      <alignment horizontal="justify" vertical="center" wrapText="1"/>
    </xf>
    <xf numFmtId="0" fontId="21" fillId="17" borderId="4" xfId="5" applyNumberFormat="1" applyFont="1" applyFill="1" applyBorder="1" applyAlignment="1">
      <alignment horizontal="justify"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DEBF7"/>
      <color rgb="FF5B9BD5"/>
      <color rgb="FFD8D8D8"/>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vmlDrawing" Target="../drawings/vmlDrawing2.vml"/><Relationship Id="rId1" Type="http://schemas.openxmlformats.org/officeDocument/2006/relationships/drawing" Target="../drawings/drawing26.xm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0.xml"/><Relationship Id="rId1" Type="http://schemas.openxmlformats.org/officeDocument/2006/relationships/printerSettings" Target="../printerSettings/printerSettings13.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97"/>
    </row>
    <row r="3" spans="4:10">
      <c r="I3" s="297"/>
    </row>
    <row r="4" spans="4:10">
      <c r="I4" s="297"/>
    </row>
    <row r="5" spans="4:10">
      <c r="I5" s="297"/>
    </row>
    <row r="6" spans="4:10">
      <c r="E6" s="380" t="s">
        <v>1006</v>
      </c>
      <c r="F6" s="381"/>
      <c r="G6" s="381"/>
      <c r="H6" s="381"/>
      <c r="I6" s="382"/>
    </row>
    <row r="7" spans="4:10">
      <c r="E7" s="298" t="s">
        <v>1007</v>
      </c>
      <c r="F7" s="383" t="s">
        <v>1008</v>
      </c>
      <c r="G7" s="384"/>
      <c r="H7" s="384"/>
      <c r="I7" s="385"/>
    </row>
    <row r="8" spans="4:10">
      <c r="E8" s="298" t="s">
        <v>1009</v>
      </c>
      <c r="F8" s="383" t="s">
        <v>1010</v>
      </c>
      <c r="G8" s="386"/>
      <c r="H8" s="386"/>
      <c r="I8" s="387"/>
    </row>
    <row r="9" spans="4:10">
      <c r="E9" s="298" t="s">
        <v>1011</v>
      </c>
      <c r="F9" s="383" t="s">
        <v>1012</v>
      </c>
      <c r="G9" s="386"/>
      <c r="H9" s="386"/>
      <c r="I9" s="387"/>
    </row>
    <row r="10" spans="4:10">
      <c r="E10" s="298" t="s">
        <v>1013</v>
      </c>
      <c r="F10" s="383" t="s">
        <v>1043</v>
      </c>
      <c r="G10" s="386"/>
      <c r="H10" s="386"/>
      <c r="I10" s="387"/>
    </row>
    <row r="11" spans="4:10">
      <c r="I11" s="297"/>
    </row>
    <row r="12" spans="4:10">
      <c r="I12" s="297"/>
    </row>
    <row r="13" spans="4:10">
      <c r="D13" s="388" t="s">
        <v>1014</v>
      </c>
      <c r="E13" s="389"/>
      <c r="F13" s="389"/>
      <c r="G13" s="389"/>
      <c r="H13" s="389"/>
      <c r="I13" s="389"/>
      <c r="J13" s="390"/>
    </row>
    <row r="14" spans="4:10" ht="27.75" customHeight="1">
      <c r="D14" s="391" t="s">
        <v>1015</v>
      </c>
      <c r="E14" s="391"/>
      <c r="F14" s="391"/>
      <c r="G14" s="391"/>
      <c r="H14" s="391"/>
      <c r="I14" s="391"/>
      <c r="J14" s="391"/>
    </row>
    <row r="15" spans="4:10" ht="45" customHeight="1">
      <c r="D15" s="392" t="s">
        <v>1016</v>
      </c>
      <c r="E15" s="392"/>
      <c r="F15" s="392"/>
      <c r="G15" s="392"/>
      <c r="H15" s="392"/>
      <c r="I15" s="392"/>
      <c r="J15" s="392"/>
    </row>
    <row r="16" spans="4:10">
      <c r="D16" s="299"/>
      <c r="E16" s="299"/>
      <c r="F16" s="299"/>
      <c r="G16" s="299"/>
      <c r="H16" s="299"/>
      <c r="I16" s="300"/>
      <c r="J16" s="299"/>
    </row>
    <row r="17" spans="4:10">
      <c r="I17" s="297"/>
    </row>
    <row r="18" spans="4:10" ht="15.75">
      <c r="D18" s="393" t="s">
        <v>1017</v>
      </c>
      <c r="E18" s="394"/>
      <c r="F18" s="394"/>
      <c r="G18" s="394"/>
      <c r="H18" s="394"/>
      <c r="I18" s="394"/>
      <c r="J18" s="395"/>
    </row>
    <row r="19" spans="4:10" ht="18" customHeight="1">
      <c r="D19" s="396" t="s">
        <v>1018</v>
      </c>
      <c r="E19" s="397"/>
      <c r="F19" s="397"/>
      <c r="G19" s="397"/>
      <c r="H19" s="397"/>
      <c r="I19" s="397"/>
      <c r="J19" s="398"/>
    </row>
    <row r="20" spans="4:10" ht="16.5" customHeight="1">
      <c r="D20" s="399" t="s">
        <v>1019</v>
      </c>
      <c r="E20" s="400"/>
      <c r="F20" s="400"/>
      <c r="G20" s="400"/>
      <c r="H20" s="400"/>
      <c r="I20" s="400"/>
      <c r="J20" s="401"/>
    </row>
    <row r="21" spans="4:10" ht="16.5" customHeight="1">
      <c r="D21" s="377" t="s">
        <v>1020</v>
      </c>
      <c r="E21" s="378"/>
      <c r="F21" s="378"/>
      <c r="G21" s="378"/>
      <c r="H21" s="378"/>
      <c r="I21" s="378"/>
      <c r="J21" s="379"/>
    </row>
    <row r="22" spans="4:10" ht="18.75" customHeight="1">
      <c r="D22" s="377" t="s">
        <v>1021</v>
      </c>
      <c r="E22" s="378"/>
      <c r="F22" s="378"/>
      <c r="G22" s="378"/>
      <c r="H22" s="378"/>
      <c r="I22" s="378"/>
      <c r="J22" s="379"/>
    </row>
    <row r="23" spans="4:10" ht="28.5" customHeight="1">
      <c r="D23" s="404" t="s">
        <v>1022</v>
      </c>
      <c r="E23" s="405"/>
      <c r="F23" s="405"/>
      <c r="G23" s="405"/>
      <c r="H23" s="405"/>
      <c r="I23" s="405"/>
      <c r="J23" s="406"/>
    </row>
    <row r="24" spans="4:10">
      <c r="I24" s="297"/>
    </row>
    <row r="25" spans="4:10">
      <c r="I25" s="297"/>
    </row>
    <row r="26" spans="4:10" ht="15.75">
      <c r="D26" s="407" t="s">
        <v>1023</v>
      </c>
      <c r="E26" s="408"/>
      <c r="F26" s="408"/>
      <c r="G26" s="408"/>
      <c r="H26" s="408"/>
      <c r="I26" s="408"/>
      <c r="J26" s="409"/>
    </row>
    <row r="27" spans="4:10">
      <c r="D27" s="301">
        <v>1</v>
      </c>
      <c r="E27" s="402" t="s">
        <v>1024</v>
      </c>
      <c r="F27" s="403"/>
      <c r="G27" s="403"/>
      <c r="H27" s="403"/>
      <c r="I27" s="403"/>
      <c r="J27" s="302" t="s">
        <v>1025</v>
      </c>
    </row>
    <row r="28" spans="4:10">
      <c r="D28" s="301">
        <v>2</v>
      </c>
      <c r="E28" s="402" t="s">
        <v>1044</v>
      </c>
      <c r="F28" s="403"/>
      <c r="G28" s="403"/>
      <c r="H28" s="403"/>
      <c r="I28" s="403"/>
      <c r="J28" s="305" t="s">
        <v>1044</v>
      </c>
    </row>
    <row r="29" spans="4:10">
      <c r="D29" s="301">
        <v>3</v>
      </c>
      <c r="E29" s="402" t="s">
        <v>1045</v>
      </c>
      <c r="F29" s="403"/>
      <c r="G29" s="403"/>
      <c r="H29" s="403"/>
      <c r="I29" s="403"/>
      <c r="J29" s="305" t="s">
        <v>1045</v>
      </c>
    </row>
    <row r="30" spans="4:10">
      <c r="D30" s="301">
        <v>4</v>
      </c>
      <c r="E30" s="402" t="s">
        <v>1046</v>
      </c>
      <c r="F30" s="403"/>
      <c r="G30" s="403"/>
      <c r="H30" s="403"/>
      <c r="I30" s="403"/>
      <c r="J30" s="305" t="s">
        <v>1046</v>
      </c>
    </row>
    <row r="31" spans="4:10">
      <c r="D31" s="303"/>
      <c r="E31" s="303"/>
      <c r="F31" s="303"/>
      <c r="G31" s="303"/>
      <c r="H31" s="303"/>
      <c r="I31" s="304"/>
      <c r="J31" s="303"/>
    </row>
    <row r="32" spans="4:10">
      <c r="I32" s="297"/>
    </row>
    <row r="33" spans="4:10" ht="18" customHeight="1">
      <c r="D33" s="393" t="s">
        <v>1026</v>
      </c>
      <c r="E33" s="394"/>
      <c r="F33" s="394"/>
      <c r="G33" s="394"/>
      <c r="H33" s="394"/>
      <c r="I33" s="394"/>
      <c r="J33" s="395"/>
    </row>
    <row r="34" spans="4:10" ht="60" customHeight="1">
      <c r="D34" s="411" t="s">
        <v>1047</v>
      </c>
      <c r="E34" s="412"/>
      <c r="F34" s="412"/>
      <c r="G34" s="412"/>
      <c r="H34" s="412"/>
      <c r="I34" s="412"/>
      <c r="J34" s="413"/>
    </row>
    <row r="35" spans="4:10" ht="49.5" customHeight="1">
      <c r="D35" s="414" t="s">
        <v>1027</v>
      </c>
      <c r="E35" s="415"/>
      <c r="F35" s="415"/>
      <c r="G35" s="415"/>
      <c r="H35" s="415"/>
      <c r="I35" s="415"/>
      <c r="J35" s="416"/>
    </row>
    <row r="36" spans="4:10" ht="53.25" customHeight="1">
      <c r="D36" s="414" t="s">
        <v>1028</v>
      </c>
      <c r="E36" s="415"/>
      <c r="F36" s="415"/>
      <c r="G36" s="415"/>
      <c r="H36" s="415"/>
      <c r="I36" s="415"/>
      <c r="J36" s="416"/>
    </row>
    <row r="37" spans="4:10" ht="30" customHeight="1">
      <c r="D37" s="396" t="s">
        <v>1029</v>
      </c>
      <c r="E37" s="417"/>
      <c r="F37" s="417"/>
      <c r="G37" s="417"/>
      <c r="H37" s="417"/>
      <c r="I37" s="417"/>
      <c r="J37" s="418"/>
    </row>
    <row r="38" spans="4:10" ht="56.25" customHeight="1">
      <c r="D38" s="419" t="s">
        <v>1030</v>
      </c>
      <c r="E38" s="420"/>
      <c r="F38" s="420"/>
      <c r="G38" s="420"/>
      <c r="H38" s="420"/>
      <c r="I38" s="420"/>
      <c r="J38" s="421"/>
    </row>
    <row r="39" spans="4:10" ht="84.75" customHeight="1">
      <c r="D39" s="419" t="s">
        <v>1031</v>
      </c>
      <c r="E39" s="420"/>
      <c r="F39" s="420"/>
      <c r="G39" s="420"/>
      <c r="H39" s="420"/>
      <c r="I39" s="420"/>
      <c r="J39" s="421"/>
    </row>
    <row r="40" spans="4:10" ht="61.5" customHeight="1">
      <c r="D40" s="422" t="s">
        <v>1032</v>
      </c>
      <c r="E40" s="423"/>
      <c r="F40" s="423"/>
      <c r="G40" s="423"/>
      <c r="H40" s="423"/>
      <c r="I40" s="423"/>
      <c r="J40" s="424"/>
    </row>
    <row r="41" spans="4:10">
      <c r="I41" s="297"/>
    </row>
    <row r="42" spans="4:10">
      <c r="I42" s="297"/>
    </row>
    <row r="43" spans="4:10" ht="15.75">
      <c r="D43" s="407" t="s">
        <v>1033</v>
      </c>
      <c r="E43" s="408"/>
      <c r="F43" s="408"/>
      <c r="G43" s="408"/>
      <c r="H43" s="408"/>
      <c r="I43" s="408"/>
      <c r="J43" s="409"/>
    </row>
    <row r="44" spans="4:10" ht="20.100000000000001" customHeight="1">
      <c r="D44" s="410" t="s">
        <v>1034</v>
      </c>
      <c r="E44" s="410"/>
      <c r="F44" s="410"/>
      <c r="G44" s="410"/>
      <c r="H44" s="410"/>
      <c r="I44" s="410"/>
      <c r="J44" s="410"/>
    </row>
    <row r="45" spans="4:10" ht="20.100000000000001" customHeight="1">
      <c r="D45" s="410" t="s">
        <v>1035</v>
      </c>
      <c r="E45" s="410"/>
      <c r="F45" s="410"/>
      <c r="G45" s="410"/>
      <c r="H45" s="410"/>
      <c r="I45" s="410"/>
      <c r="J45" s="410"/>
    </row>
    <row r="46" spans="4:10" ht="20.100000000000001" customHeight="1">
      <c r="D46" s="410" t="s">
        <v>1036</v>
      </c>
      <c r="E46" s="410"/>
      <c r="F46" s="410"/>
      <c r="G46" s="410"/>
      <c r="H46" s="410"/>
      <c r="I46" s="410"/>
      <c r="J46" s="410"/>
    </row>
    <row r="47" spans="4:10" ht="42" customHeight="1">
      <c r="D47" s="410" t="s">
        <v>1037</v>
      </c>
      <c r="E47" s="410"/>
      <c r="F47" s="410"/>
      <c r="G47" s="410"/>
      <c r="H47" s="410"/>
      <c r="I47" s="410"/>
      <c r="J47" s="410"/>
    </row>
    <row r="48" spans="4:10" ht="38.25" customHeight="1">
      <c r="D48" s="410" t="s">
        <v>1038</v>
      </c>
      <c r="E48" s="410"/>
      <c r="F48" s="410"/>
      <c r="G48" s="410"/>
      <c r="H48" s="410"/>
      <c r="I48" s="410"/>
      <c r="J48" s="410"/>
    </row>
    <row r="49" spans="4:10" ht="38.25" customHeight="1">
      <c r="D49" s="426" t="s">
        <v>1039</v>
      </c>
      <c r="E49" s="410"/>
      <c r="F49" s="410"/>
      <c r="G49" s="410"/>
      <c r="H49" s="410"/>
      <c r="I49" s="410"/>
      <c r="J49" s="410"/>
    </row>
    <row r="50" spans="4:10" ht="38.25" customHeight="1">
      <c r="D50" s="426" t="s">
        <v>1040</v>
      </c>
      <c r="E50" s="410"/>
      <c r="F50" s="410"/>
      <c r="G50" s="410"/>
      <c r="H50" s="410"/>
      <c r="I50" s="410"/>
      <c r="J50" s="410"/>
    </row>
    <row r="51" spans="4:10" ht="25.5" customHeight="1">
      <c r="D51" s="427" t="s">
        <v>1041</v>
      </c>
      <c r="E51" s="425"/>
      <c r="F51" s="425"/>
      <c r="G51" s="425"/>
      <c r="H51" s="425"/>
      <c r="I51" s="425"/>
      <c r="J51" s="425"/>
    </row>
    <row r="52" spans="4:10" ht="27.75" customHeight="1">
      <c r="D52" s="425" t="s">
        <v>1042</v>
      </c>
      <c r="E52" s="425"/>
      <c r="F52" s="425"/>
      <c r="G52" s="425"/>
      <c r="H52" s="425"/>
      <c r="I52" s="425"/>
      <c r="J52" s="425"/>
    </row>
    <row r="53" spans="4:10">
      <c r="I53" s="297"/>
    </row>
    <row r="54" spans="4:10">
      <c r="I54" s="297"/>
    </row>
    <row r="55" spans="4:10">
      <c r="I55" s="29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display="Declaration"/>
    <hyperlink ref="J29" location="Summary!A1" display="Summary"/>
    <hyperlink ref="J30" location="'Shareholding Pattern'!A1" display="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6"/>
  <sheetViews>
    <sheetView showGridLines="0"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customWidth="1"/>
    <col min="24" max="24" width="8.5703125" customWidth="1"/>
    <col min="25" max="25" width="13.5703125" hidden="1" customWidth="1"/>
    <col min="26" max="26" width="8.42578125" hidden="1" customWidth="1"/>
    <col min="27" max="27" width="14.5703125" customWidth="1"/>
    <col min="28" max="28" width="19.28515625" customWidth="1"/>
    <col min="29" max="29" width="3.42578125" style="325" customWidth="1"/>
    <col min="30" max="30" width="3" style="325" customWidth="1"/>
    <col min="31" max="16383" width="3.5703125" hidden="1"/>
    <col min="16384" max="16384" width="1" hidden="1"/>
  </cols>
  <sheetData>
    <row r="1" spans="4:48" ht="0.75" customHeight="1">
      <c r="I1">
        <v>0</v>
      </c>
      <c r="AC1"/>
      <c r="AD1"/>
      <c r="AR1" s="7" t="s">
        <v>1004</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c r="AR2" s="7" t="s">
        <v>1052</v>
      </c>
    </row>
    <row r="3" spans="4:48" hidden="1">
      <c r="AC3"/>
      <c r="AD3"/>
      <c r="AR3" s="7" t="s">
        <v>985</v>
      </c>
    </row>
    <row r="4" spans="4:48" hidden="1">
      <c r="AC4"/>
      <c r="AD4"/>
      <c r="AR4" s="7" t="s">
        <v>927</v>
      </c>
    </row>
    <row r="5" spans="4:48" hidden="1">
      <c r="AC5"/>
      <c r="AD5"/>
      <c r="AR5" s="7" t="s">
        <v>986</v>
      </c>
    </row>
    <row r="6" spans="4:48" hidden="1">
      <c r="AC6"/>
      <c r="AD6"/>
      <c r="AR6" s="7" t="s">
        <v>935</v>
      </c>
    </row>
    <row r="7" spans="4:48" ht="15" customHeight="1">
      <c r="AC7"/>
      <c r="AD7"/>
      <c r="AR7" s="7"/>
    </row>
    <row r="8" spans="4:48" ht="15" customHeight="1">
      <c r="AC8"/>
      <c r="AD8"/>
      <c r="AR8" s="7"/>
    </row>
    <row r="9" spans="4:48" ht="29.25" customHeight="1">
      <c r="D9" s="464" t="s">
        <v>138</v>
      </c>
      <c r="E9" s="463" t="s">
        <v>34</v>
      </c>
      <c r="F9" s="463"/>
      <c r="G9" s="464" t="s">
        <v>137</v>
      </c>
      <c r="H9" s="463" t="s">
        <v>1</v>
      </c>
      <c r="I9" s="437" t="s">
        <v>961</v>
      </c>
      <c r="J9" s="463" t="s">
        <v>3</v>
      </c>
      <c r="K9" s="463" t="s">
        <v>4</v>
      </c>
      <c r="L9" s="463" t="s">
        <v>5</v>
      </c>
      <c r="M9" s="463" t="s">
        <v>6</v>
      </c>
      <c r="N9" s="463" t="s">
        <v>7</v>
      </c>
      <c r="O9" s="463" t="s">
        <v>8</v>
      </c>
      <c r="P9" s="463"/>
      <c r="Q9" s="463"/>
      <c r="R9" s="463"/>
      <c r="S9" s="463" t="s">
        <v>9</v>
      </c>
      <c r="T9" s="464" t="s">
        <v>1064</v>
      </c>
      <c r="U9" s="464" t="s">
        <v>135</v>
      </c>
      <c r="V9" s="463" t="s">
        <v>107</v>
      </c>
      <c r="W9" s="463" t="s">
        <v>12</v>
      </c>
      <c r="X9" s="463"/>
      <c r="Y9" s="463" t="s">
        <v>13</v>
      </c>
      <c r="Z9" s="463"/>
      <c r="AA9" s="463" t="s">
        <v>14</v>
      </c>
      <c r="AB9" s="437" t="s">
        <v>1053</v>
      </c>
      <c r="AC9"/>
      <c r="AD9"/>
      <c r="AR9" s="7"/>
      <c r="AV9" t="s">
        <v>34</v>
      </c>
    </row>
    <row r="10" spans="4:48" ht="31.5" customHeight="1">
      <c r="D10" s="465"/>
      <c r="E10" s="463"/>
      <c r="F10" s="463"/>
      <c r="G10" s="465"/>
      <c r="H10" s="463"/>
      <c r="I10" s="463"/>
      <c r="J10" s="463"/>
      <c r="K10" s="463"/>
      <c r="L10" s="463"/>
      <c r="M10" s="463"/>
      <c r="N10" s="463"/>
      <c r="O10" s="463" t="s">
        <v>15</v>
      </c>
      <c r="P10" s="463"/>
      <c r="Q10" s="463"/>
      <c r="R10" s="463" t="s">
        <v>16</v>
      </c>
      <c r="S10" s="463"/>
      <c r="T10" s="465"/>
      <c r="U10" s="465"/>
      <c r="V10" s="463"/>
      <c r="W10" s="463"/>
      <c r="X10" s="463"/>
      <c r="Y10" s="463"/>
      <c r="Z10" s="463"/>
      <c r="AA10" s="463"/>
      <c r="AB10" s="463"/>
      <c r="AC10"/>
      <c r="AD10"/>
      <c r="AR10" s="7"/>
      <c r="AV10" t="s">
        <v>979</v>
      </c>
    </row>
    <row r="11" spans="4:48" ht="78.75" customHeight="1">
      <c r="D11" s="466"/>
      <c r="E11" s="463"/>
      <c r="F11" s="463"/>
      <c r="G11" s="466"/>
      <c r="H11" s="463"/>
      <c r="I11" s="463"/>
      <c r="J11" s="463"/>
      <c r="K11" s="463"/>
      <c r="L11" s="463"/>
      <c r="M11" s="463"/>
      <c r="N11" s="463"/>
      <c r="O11" s="44" t="s">
        <v>17</v>
      </c>
      <c r="P11" s="44" t="s">
        <v>18</v>
      </c>
      <c r="Q11" s="44" t="s">
        <v>19</v>
      </c>
      <c r="R11" s="463"/>
      <c r="S11" s="463"/>
      <c r="T11" s="466"/>
      <c r="U11" s="466"/>
      <c r="V11" s="463"/>
      <c r="W11" s="44" t="s">
        <v>20</v>
      </c>
      <c r="X11" s="44" t="s">
        <v>21</v>
      </c>
      <c r="Y11" s="44" t="s">
        <v>20</v>
      </c>
      <c r="Z11" s="44" t="s">
        <v>21</v>
      </c>
      <c r="AA11" s="463"/>
      <c r="AB11" s="463"/>
      <c r="AC11"/>
      <c r="AD11"/>
    </row>
    <row r="12" spans="4:48" ht="15.75">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4:48" s="11" customFormat="1" hidden="1">
      <c r="D13" s="221"/>
      <c r="E13" s="99"/>
      <c r="F13" s="90"/>
      <c r="G13" s="90"/>
      <c r="H13" s="16"/>
      <c r="I13" s="16"/>
      <c r="J13" s="16"/>
      <c r="K13" s="51"/>
      <c r="L13" s="51"/>
      <c r="M13" s="265" t="str">
        <f>+IFERROR(IF(COUNT(J13:L13),ROUND(SUM(J13:L13),0),""),"")</f>
        <v/>
      </c>
      <c r="N13" s="263" t="str">
        <f>+IFERROR(IF(COUNT(M13),ROUND(M13/'Shareholding Pattern'!$L$57*100,2),""),"")</f>
        <v/>
      </c>
      <c r="O13" s="308"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263" t="str">
        <f>+IFERROR(IF(COUNT(Y13),ROUND(SUM(Y13)/SUM(M13)*100,2),""),0)</f>
        <v/>
      </c>
      <c r="AA13" s="238"/>
      <c r="AB13" s="317"/>
      <c r="AC13" s="324">
        <f>IF(SUM(I13:AA13)&gt;0,1,0)</f>
        <v>0</v>
      </c>
      <c r="AD13" s="324">
        <f>SUM(AC1:AC65535)</f>
        <v>0</v>
      </c>
      <c r="AE13" s="11">
        <f>SUM(AC1:AC65535)</f>
        <v>0</v>
      </c>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18.75" hidden="1" customHeight="1">
      <c r="D15" s="49"/>
      <c r="Z15" s="239"/>
    </row>
    <row r="16" spans="4:48" ht="20.100000000000001" customHeight="1">
      <c r="D16" s="63"/>
      <c r="E16" s="240" t="s">
        <v>1002</v>
      </c>
      <c r="F16" s="39"/>
      <c r="G16" s="64"/>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f>
        <v/>
      </c>
      <c r="O16" s="215" t="str">
        <f>+IFERROR(IF(COUNT(O14:O15),ROUND(SUM(O14:O15),0),""),"")</f>
        <v/>
      </c>
      <c r="P16" s="215" t="str">
        <f>+IFERROR(IF(COUNT(P14:P15),ROUND(SUM(P14:P15),0),""),"")</f>
        <v/>
      </c>
      <c r="Q16" s="215" t="str">
        <f>+IFERROR(IF(COUNT(Q14:Q15),ROUND(SUM(Q14:Q15),0),""),"")</f>
        <v/>
      </c>
      <c r="R16" s="263" t="str">
        <f>+IFERROR(IF(COUNT(Q16),ROUND(Q16/('Shareholding Pattern'!$P$58)*100,2),""),"")</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f>
        <v/>
      </c>
      <c r="W16" s="77" t="str">
        <f>+IFERROR(IF(COUNT(W14:W15),ROUND(SUM(W14:W15),0),""),"")</f>
        <v/>
      </c>
      <c r="X16" s="263" t="str">
        <f>+IFERROR(IF(COUNT(W16),ROUND(SUM(W16)/SUM(M16)*100,2),""),0)</f>
        <v/>
      </c>
      <c r="Y16" s="77" t="str">
        <f>+IFERROR(IF(COUNT(Y14:Y15),ROUND(SUM(Y14:Y15),0),""),"")</f>
        <v/>
      </c>
      <c r="Z16" s="263" t="str">
        <f>+IFERROR(IF(COUNT(Y16),ROUND(SUM(Y16)/SUM(M16)*100,2),""),0)</f>
        <v/>
      </c>
      <c r="AA16" s="77" t="str">
        <f>+IFERROR(IF(COUNT(AA14:AA15),ROUND(SUM(AA14:AA15),0),""),"")</f>
        <v/>
      </c>
    </row>
  </sheetData>
  <sheetProtection password="F884" sheet="1" objects="1" scenarios="1"/>
  <mergeCells count="22">
    <mergeCell ref="T9:T11"/>
    <mergeCell ref="U9:U11"/>
    <mergeCell ref="O10:Q10"/>
    <mergeCell ref="R10:R11"/>
    <mergeCell ref="S9:S11"/>
    <mergeCell ref="O9:R9"/>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s>
  <dataValidations count="9">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AB13">
      <formula1>M13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J13:L13 S13:T13 P13">
      <formula1>0</formula1>
    </dataValidation>
    <dataValidation type="whole" operator="greaterThan" allowBlank="1" showInputMessage="1" showErrorMessage="1" sqref="I13">
      <formula1>0</formula1>
    </dataValidation>
    <dataValidation type="list" allowBlank="1" showInputMessage="1" showErrorMessage="1" sqref="E13">
      <formula1>$AR$1:$AR$6</formula1>
    </dataValidation>
    <dataValidation operator="greaterThanOrEqual" allowBlank="1" showInputMessage="1" showErrorMessage="1" sqref="O13"/>
    <dataValidation type="list" allowBlank="1" showInputMessage="1" showErrorMessage="1" sqref="F13">
      <formula1>$AV$9:$AV$10</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A1:XFC16"/>
  <sheetViews>
    <sheetView showGridLines="0" topLeftCell="A10"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customWidth="1"/>
    <col min="22" max="22" width="8.5703125" customWidth="1"/>
    <col min="23" max="23" width="15.42578125" hidden="1" customWidth="1"/>
    <col min="24" max="24" width="9.140625" hidden="1" customWidth="1"/>
    <col min="25" max="25" width="15.42578125" customWidth="1"/>
    <col min="26" max="26" width="20.85546875" customWidth="1"/>
    <col min="27" max="27" width="3.7109375" customWidth="1"/>
    <col min="28" max="28" width="3.42578125" customWidth="1"/>
    <col min="29" max="16383" width="3.1406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7" spans="5:30" ht="15" customHeight="1"/>
    <row r="8" spans="5:30" ht="15" customHeight="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13</v>
      </c>
      <c r="X9" s="463"/>
      <c r="Y9" s="463" t="s">
        <v>14</v>
      </c>
      <c r="Z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Y10" s="463"/>
      <c r="Z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4" t="s">
        <v>20</v>
      </c>
      <c r="X11" s="44" t="s">
        <v>21</v>
      </c>
      <c r="Y11" s="463"/>
      <c r="Z11" s="463"/>
    </row>
    <row r="12" spans="5:30" s="5" customFormat="1" ht="20.100000000000001" customHeight="1">
      <c r="E12" s="9" t="s">
        <v>83</v>
      </c>
      <c r="F12" s="310" t="s">
        <v>38</v>
      </c>
      <c r="G12" s="33"/>
      <c r="H12" s="33"/>
      <c r="I12" s="33"/>
      <c r="J12" s="33"/>
      <c r="K12" s="33"/>
      <c r="L12" s="33"/>
      <c r="M12" s="33"/>
      <c r="N12" s="33"/>
      <c r="O12" s="33"/>
      <c r="P12" s="33"/>
      <c r="Q12" s="33"/>
      <c r="R12" s="33"/>
      <c r="S12" s="33"/>
      <c r="T12" s="33"/>
      <c r="U12" s="33"/>
      <c r="V12" s="33"/>
      <c r="W12" s="33"/>
      <c r="X12" s="33"/>
      <c r="Y12" s="33"/>
      <c r="Z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J9:J11"/>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H13:J13 M13:N13">
      <formula1>0</formula1>
    </dataValidation>
    <dataValidation type="textLength" operator="equal" allowBlank="1" showInputMessage="1" showErrorMessage="1" prompt="[A-Z][A-Z][A-Z][A-Z][A-Z][0-9][0-9][0-9][0-9][A-Z]&#10;&#10;In absence of PAN write : ZZZZZ9999Z" sqref="G13">
      <formula1>10</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XFC23"/>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3" width="6.28515625" hidden="1"/>
    <col min="16384" max="16384" width="2"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13</v>
      </c>
      <c r="X9" s="463"/>
      <c r="Y9" s="463" t="s">
        <v>14</v>
      </c>
      <c r="Z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Y10" s="463"/>
      <c r="Z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4" t="s">
        <v>20</v>
      </c>
      <c r="X11" s="44" t="s">
        <v>21</v>
      </c>
      <c r="Y11" s="463"/>
      <c r="Z11" s="463"/>
    </row>
    <row r="12" spans="5:30" ht="15.75">
      <c r="E12" s="9" t="s">
        <v>83</v>
      </c>
      <c r="F12" s="310" t="s">
        <v>39</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IF(SUM(H13:I13)&gt;0,1,0)</f>
        <v>0</v>
      </c>
      <c r="AD13" s="11">
        <f>SUM(AC1:AC65535)</f>
        <v>0</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row r="23" spans="9:9">
      <c r="I23" t="s">
        <v>984</v>
      </c>
    </row>
  </sheetData>
  <sheetProtection password="F884" sheet="1" objects="1" scenarios="1"/>
  <mergeCells count="19">
    <mergeCell ref="J9:J11"/>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customWidth="1"/>
    <col min="22" max="22" width="8.42578125" customWidth="1"/>
    <col min="23" max="23" width="15.42578125" hidden="1" customWidth="1"/>
    <col min="24" max="24" width="7.5703125" hidden="1" customWidth="1"/>
    <col min="25" max="25" width="15.42578125" customWidth="1"/>
    <col min="26" max="26" width="17.5703125" customWidth="1"/>
    <col min="27" max="27" width="4.140625" customWidth="1"/>
    <col min="28" max="28" width="3.28515625" customWidth="1"/>
    <col min="29" max="16383" width="16.140625" hidden="1"/>
    <col min="16384" max="16384" width="1.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13</v>
      </c>
      <c r="X9" s="463"/>
      <c r="Y9" s="463" t="s">
        <v>14</v>
      </c>
      <c r="Z9" s="437" t="s">
        <v>1053</v>
      </c>
      <c r="AR9" t="s">
        <v>930</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Y10" s="463"/>
      <c r="Z10" s="463"/>
      <c r="AR10" t="s">
        <v>931</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4" t="s">
        <v>20</v>
      </c>
      <c r="X11" s="44" t="s">
        <v>21</v>
      </c>
      <c r="Y11" s="463"/>
      <c r="Z11" s="463"/>
      <c r="AR11" t="s">
        <v>936</v>
      </c>
    </row>
    <row r="12" spans="5:44" ht="18.75" customHeight="1">
      <c r="E12" s="9" t="s">
        <v>84</v>
      </c>
      <c r="F12" s="310"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L9:L11"/>
    <mergeCell ref="M9:P9"/>
    <mergeCell ref="Q9:Q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8.7109375" customWidth="1"/>
    <col min="23" max="23" width="15.42578125" hidden="1" customWidth="1"/>
    <col min="24" max="24" width="8.5703125" hidden="1" customWidth="1"/>
    <col min="25" max="25" width="15.42578125" customWidth="1"/>
    <col min="26" max="26" width="16.5703125" customWidth="1"/>
    <col min="27" max="27" width="5" customWidth="1"/>
    <col min="28" max="28" width="4.7109375" customWidth="1"/>
    <col min="29" max="16383" width="16.5703125" hidden="1"/>
    <col min="16384" max="16384" width="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13</v>
      </c>
      <c r="X9" s="463"/>
      <c r="Y9" s="463" t="s">
        <v>14</v>
      </c>
      <c r="Z9" s="437" t="s">
        <v>1053</v>
      </c>
      <c r="AR9" t="s">
        <v>930</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Y10" s="463"/>
      <c r="Z10" s="463"/>
      <c r="AR10" t="s">
        <v>931</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4" t="s">
        <v>20</v>
      </c>
      <c r="X11" s="44" t="s">
        <v>21</v>
      </c>
      <c r="Y11" s="463"/>
      <c r="Z11" s="463"/>
      <c r="AR11" t="s">
        <v>936</v>
      </c>
    </row>
    <row r="12" spans="5:44" ht="18" customHeight="1">
      <c r="E12" s="9" t="s">
        <v>85</v>
      </c>
      <c r="F12" s="310"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J9:J11"/>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customWidth="1"/>
    <col min="24" max="24" width="8.5703125" customWidth="1"/>
    <col min="25" max="25" width="12.5703125" hidden="1" customWidth="1"/>
    <col min="26" max="26" width="8.42578125" hidden="1" customWidth="1"/>
    <col min="27" max="27" width="15.85546875" customWidth="1"/>
    <col min="28" max="28" width="16.5703125" customWidth="1"/>
    <col min="29" max="29" width="2.5703125" style="325" customWidth="1"/>
    <col min="30" max="30" width="3.85546875" style="325" customWidth="1"/>
    <col min="31" max="43" width="7.28515625" hidden="1"/>
    <col min="44" max="44" width="6.42578125" hidden="1"/>
    <col min="45" max="45" width="9" hidden="1"/>
    <col min="46" max="46" width="19.85546875" hidden="1"/>
    <col min="47" max="47" width="22.140625" hidden="1"/>
    <col min="48" max="48" width="37.140625" hidden="1"/>
    <col min="49" max="49" width="20.28515625" hidden="1"/>
    <col min="50" max="50" width="14.85546875" hidden="1"/>
    <col min="51" max="51" width="18.42578125" hidden="1"/>
    <col min="52" max="52" width="6.140625" hidden="1"/>
    <col min="53" max="53" width="16.42578125" hidden="1"/>
    <col min="54" max="16378" width="3.7109375" hidden="1"/>
    <col min="16379" max="16379" width="2.5703125" hidden="1"/>
    <col min="16380" max="16380" width="3.7109375" hidden="1"/>
    <col min="16381" max="16381" width="4.5703125" hidden="1"/>
    <col min="16382" max="16382" width="7.5703125" hidden="1"/>
    <col min="16383" max="16383" width="1.7109375" hidden="1"/>
    <col min="16384" max="16384" width="4.85546875" hidden="1"/>
  </cols>
  <sheetData>
    <row r="1" spans="4:48" hidden="1">
      <c r="I1">
        <v>0</v>
      </c>
      <c r="AC1"/>
      <c r="AD1"/>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row>
    <row r="3" spans="4:48" hidden="1">
      <c r="AC3"/>
      <c r="AD3"/>
      <c r="AR3" t="s">
        <v>1052</v>
      </c>
      <c r="AS3" t="s">
        <v>935</v>
      </c>
    </row>
    <row r="4" spans="4:48" hidden="1">
      <c r="AC4"/>
      <c r="AD4"/>
    </row>
    <row r="5" spans="4:48" hidden="1">
      <c r="AC5"/>
      <c r="AD5"/>
    </row>
    <row r="6" spans="4:48" hidden="1">
      <c r="AC6"/>
      <c r="AD6"/>
    </row>
    <row r="7" spans="4:48" ht="18" customHeight="1">
      <c r="AC7"/>
      <c r="AD7"/>
      <c r="AR7" s="75"/>
    </row>
    <row r="8" spans="4:48" ht="15" customHeight="1">
      <c r="AC8"/>
      <c r="AD8"/>
      <c r="AR8" s="75"/>
    </row>
    <row r="9" spans="4:48" ht="29.25" customHeight="1">
      <c r="D9" s="464" t="s">
        <v>138</v>
      </c>
      <c r="E9" s="463" t="s">
        <v>34</v>
      </c>
      <c r="F9" s="463"/>
      <c r="G9" s="464" t="s">
        <v>137</v>
      </c>
      <c r="H9" s="463" t="s">
        <v>1</v>
      </c>
      <c r="I9" s="437" t="s">
        <v>961</v>
      </c>
      <c r="J9" s="463" t="s">
        <v>3</v>
      </c>
      <c r="K9" s="463" t="s">
        <v>4</v>
      </c>
      <c r="L9" s="463" t="s">
        <v>5</v>
      </c>
      <c r="M9" s="463" t="s">
        <v>6</v>
      </c>
      <c r="N9" s="463" t="s">
        <v>7</v>
      </c>
      <c r="O9" s="463" t="s">
        <v>8</v>
      </c>
      <c r="P9" s="463"/>
      <c r="Q9" s="463"/>
      <c r="R9" s="463"/>
      <c r="S9" s="463" t="s">
        <v>9</v>
      </c>
      <c r="T9" s="464" t="s">
        <v>1064</v>
      </c>
      <c r="U9" s="464" t="s">
        <v>135</v>
      </c>
      <c r="V9" s="463" t="s">
        <v>107</v>
      </c>
      <c r="W9" s="463" t="s">
        <v>12</v>
      </c>
      <c r="X9" s="463"/>
      <c r="Y9" s="463" t="s">
        <v>13</v>
      </c>
      <c r="Z9" s="463"/>
      <c r="AA9" s="463" t="s">
        <v>14</v>
      </c>
      <c r="AB9" s="437" t="s">
        <v>1053</v>
      </c>
      <c r="AC9"/>
      <c r="AD9"/>
      <c r="AS9" s="75"/>
      <c r="AV9" t="s">
        <v>34</v>
      </c>
    </row>
    <row r="10" spans="4:48" ht="31.5" customHeight="1">
      <c r="D10" s="465"/>
      <c r="E10" s="463"/>
      <c r="F10" s="463"/>
      <c r="G10" s="465"/>
      <c r="H10" s="463"/>
      <c r="I10" s="463"/>
      <c r="J10" s="463"/>
      <c r="K10" s="463"/>
      <c r="L10" s="463"/>
      <c r="M10" s="463"/>
      <c r="N10" s="463"/>
      <c r="O10" s="463" t="s">
        <v>15</v>
      </c>
      <c r="P10" s="463"/>
      <c r="Q10" s="463"/>
      <c r="R10" s="463" t="s">
        <v>16</v>
      </c>
      <c r="S10" s="463"/>
      <c r="T10" s="465"/>
      <c r="U10" s="465"/>
      <c r="V10" s="463"/>
      <c r="W10" s="463"/>
      <c r="X10" s="463"/>
      <c r="Y10" s="463"/>
      <c r="Z10" s="463"/>
      <c r="AA10" s="463"/>
      <c r="AB10" s="463"/>
      <c r="AC10"/>
      <c r="AD10"/>
      <c r="AS10" s="75"/>
      <c r="AV10" t="s">
        <v>979</v>
      </c>
    </row>
    <row r="11" spans="4:48" ht="78.75" customHeight="1">
      <c r="D11" s="466"/>
      <c r="E11" s="463"/>
      <c r="F11" s="463"/>
      <c r="G11" s="466"/>
      <c r="H11" s="463"/>
      <c r="I11" s="463"/>
      <c r="J11" s="463"/>
      <c r="K11" s="463"/>
      <c r="L11" s="463"/>
      <c r="M11" s="463"/>
      <c r="N11" s="463"/>
      <c r="O11" s="44" t="s">
        <v>17</v>
      </c>
      <c r="P11" s="44" t="s">
        <v>18</v>
      </c>
      <c r="Q11" s="44" t="s">
        <v>19</v>
      </c>
      <c r="R11" s="463"/>
      <c r="S11" s="463"/>
      <c r="T11" s="466"/>
      <c r="U11" s="466"/>
      <c r="V11" s="463"/>
      <c r="W11" s="44" t="s">
        <v>20</v>
      </c>
      <c r="X11" s="44" t="s">
        <v>21</v>
      </c>
      <c r="Y11" s="44" t="s">
        <v>20</v>
      </c>
      <c r="Z11" s="44" t="s">
        <v>21</v>
      </c>
      <c r="AA11" s="463"/>
      <c r="AB11" s="463"/>
      <c r="AC11"/>
      <c r="AD11"/>
      <c r="AS11" s="75"/>
    </row>
    <row r="12" spans="4:48" ht="21"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4:48" s="11" customFormat="1" hidden="1">
      <c r="D13" s="221"/>
      <c r="E13" s="90"/>
      <c r="F13" s="90"/>
      <c r="G13" s="90"/>
      <c r="H13" s="10"/>
      <c r="I13" s="16"/>
      <c r="J13" s="16"/>
      <c r="K13" s="51"/>
      <c r="L13" s="51"/>
      <c r="M13" s="265" t="str">
        <f>+IFERROR(IF(COUNT(J13:L13),ROUND(SUM(J13:L13),0),""),"")</f>
        <v/>
      </c>
      <c r="N13" s="263" t="str">
        <f>+IFERROR(IF(COUNT(M13),ROUND(M13/'Shareholding Pattern'!$L$57*100,2),""),"")</f>
        <v/>
      </c>
      <c r="O13" s="308" t="str">
        <f>IF(J13="","",J13)</f>
        <v/>
      </c>
      <c r="P13" s="233"/>
      <c r="Q13" s="55" t="str">
        <f>+IFERROR(IF(COUNT(O13:P13),ROUND(SUM(O13,P13),0),""),"")</f>
        <v/>
      </c>
      <c r="R13" s="17" t="str">
        <f>+IFERROR(IF(COUNT(Q13),ROUND(Q13/('Shareholding Pattern'!$P$58)*100,2),""),"")</f>
        <v/>
      </c>
      <c r="S13" s="51"/>
      <c r="T13" s="51"/>
      <c r="U13" s="52" t="str">
        <f>+IFERROR(IF(COUNT(S13:T13),ROUND(SUM(S13:T13),0),""),"")</f>
        <v/>
      </c>
      <c r="V13" s="17" t="str">
        <f>+IFERROR(IF(COUNT(M13,U13),ROUND(SUM(U13,M13)/SUM('Shareholding Pattern'!$L$57,'Shareholding Pattern'!$T$57)*100,2),""),"")</f>
        <v/>
      </c>
      <c r="W13" s="51"/>
      <c r="X13" s="17" t="str">
        <f>+IFERROR(IF(W13="","",(IF(COUNT(W13,M13),ROUND(SUM(W13)/SUM(M13)*100,2),""))),"")</f>
        <v/>
      </c>
      <c r="Y13" s="51"/>
      <c r="Z13" s="17" t="str">
        <f>+IFERROR(IF(Y13="","",(IF(COUNT(Y13,M13),ROUND(SUM(Y13)/SUM(M13)*100,2),""))),"")</f>
        <v/>
      </c>
      <c r="AA13" s="16"/>
      <c r="AB13" s="315"/>
      <c r="AC13" s="324">
        <f>IF(SUM(I13:AA13),1,0)</f>
        <v>0</v>
      </c>
      <c r="AD13" s="324">
        <f>SUM(AC1:AC65535)</f>
        <v>0</v>
      </c>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0" t="s">
        <v>1002</v>
      </c>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f>
        <v/>
      </c>
      <c r="O16" s="215" t="str">
        <f>+IFERROR(IF(COUNT(O14:O15),ROUND(SUM(O14:O15),0),""),"")</f>
        <v/>
      </c>
      <c r="P16" s="215" t="str">
        <f>+IFERROR(IF(COUNT(P14:P15),ROUND(SUM(P14:P15),0),""),"")</f>
        <v/>
      </c>
      <c r="Q16" s="215" t="str">
        <f>+IFERROR(IF(COUNT(Q14:Q15),ROUND(SUM(Q14:Q15),0),""),"")</f>
        <v/>
      </c>
      <c r="R16" s="263" t="str">
        <f>+IFERROR(IF(COUNT(Q16),ROUND(Q16/('Shareholding Pattern'!$P$58)*100,2),""),"")</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f>
        <v/>
      </c>
      <c r="W16" s="77" t="str">
        <f>+IFERROR(IF(COUNT(W14:W15),ROUND(SUM(W14:W15),0),""),"")</f>
        <v/>
      </c>
      <c r="X16" s="263" t="str">
        <f>+IFERROR(IF(COUNT(W16,J16),ROUND(SUM(W16)/SUM(M16)*100,2),""),0)</f>
        <v/>
      </c>
      <c r="Y16" s="77" t="str">
        <f>+IFERROR(IF(COUNT(Y14:Y15),ROUND(SUM(Y14:Y15),0),""),"")</f>
        <v/>
      </c>
      <c r="Z16" s="263" t="str">
        <f>+IFERROR(IF(COUNT(Y16,J16),ROUND(SUM(Y16)/SUM(M16)*100,2),""),0)</f>
        <v/>
      </c>
      <c r="AA16" s="77" t="str">
        <f>+IFERROR(IF(COUNT(AA14:AA15),ROUND(SUM(AA14:AA15),0),""),"")</f>
        <v/>
      </c>
    </row>
  </sheetData>
  <sheetProtection password="F884" sheet="1" objects="1" scenarios="1"/>
  <mergeCells count="22">
    <mergeCell ref="V9:V11"/>
    <mergeCell ref="T9:T11"/>
    <mergeCell ref="U9:U11"/>
    <mergeCell ref="O10:Q10"/>
    <mergeCell ref="S9:S11"/>
    <mergeCell ref="R10:R11"/>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s>
  <dataValidations count="8">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
      <formula1>M13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O13:P13 J13:L13">
      <formula1>0</formula1>
    </dataValidation>
    <dataValidation type="whole" operator="greaterThan" allowBlank="1" showInputMessage="1" showErrorMessage="1" sqref="I13">
      <formula1>0</formula1>
    </dataValidation>
    <dataValidation type="list" allowBlank="1" showInputMessage="1" showErrorMessage="1" sqref="E13">
      <formula1>$AR$3:$AS$3</formula1>
    </dataValidation>
    <dataValidation type="list" allowBlank="1" showInputMessage="1" showErrorMessage="1" sqref="F13">
      <formula1>$AV$9:$AV$10</formula1>
    </dataValidation>
  </dataValidations>
  <hyperlinks>
    <hyperlink ref="H16" location="'Shareholding Pattern'!F24" display="Total"/>
    <hyperlink ref="G16" location="'Shareholding Pattern'!F24" display="Tot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customWidth="1"/>
    <col min="22" max="22" width="8.42578125"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t="14.25" hidden="1" customHeight="1"/>
    <row r="7" spans="5:44" ht="15" customHeight="1">
      <c r="AR7" t="s">
        <v>937</v>
      </c>
    </row>
    <row r="8" spans="5:44" ht="15" customHeight="1">
      <c r="AR8" t="s">
        <v>927</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8"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Y13"/>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8.7109375"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c r="AR11" t="s">
        <v>939</v>
      </c>
    </row>
    <row r="12" spans="5:44" ht="18"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t="19.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0.7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customWidth="1"/>
    <col min="22" max="22" width="8.85546875"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8.28515625"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SUM(AC13:AC65535)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7" workbookViewId="0">
      <selection activeCell="D7" sqref="D7"/>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1056</v>
      </c>
    </row>
    <row r="4" spans="5:24" hidden="1">
      <c r="S4" s="18" t="s">
        <v>1056</v>
      </c>
      <c r="T4" s="18" t="s">
        <v>121</v>
      </c>
      <c r="W4" s="18" t="s">
        <v>1057</v>
      </c>
    </row>
    <row r="5" spans="5:24" hidden="1">
      <c r="S5" s="18" t="s">
        <v>1057</v>
      </c>
    </row>
    <row r="6" spans="5:24" hidden="1"/>
    <row r="7" spans="5:24" ht="31.5" customHeight="1">
      <c r="M7" s="18" t="s">
        <v>948</v>
      </c>
      <c r="X7" s="18" t="s">
        <v>111</v>
      </c>
    </row>
    <row r="8" spans="5:24" ht="30" customHeight="1">
      <c r="E8" s="428" t="s">
        <v>108</v>
      </c>
      <c r="F8" s="429"/>
      <c r="M8" s="18" t="s">
        <v>949</v>
      </c>
      <c r="X8" s="18" t="s">
        <v>122</v>
      </c>
    </row>
    <row r="9" spans="5:24" ht="20.100000000000001" customHeight="1">
      <c r="E9" s="19" t="s">
        <v>124</v>
      </c>
      <c r="F9" s="234">
        <v>540134</v>
      </c>
      <c r="M9" s="18" t="s">
        <v>950</v>
      </c>
    </row>
    <row r="10" spans="5:24" ht="20.100000000000001" customHeight="1">
      <c r="E10" s="20" t="s">
        <v>123</v>
      </c>
      <c r="F10" s="341" t="s">
        <v>1072</v>
      </c>
      <c r="M10" s="18" t="s">
        <v>1060</v>
      </c>
    </row>
    <row r="11" spans="5:24" ht="20.100000000000001" customHeight="1">
      <c r="E11" s="312" t="s">
        <v>1054</v>
      </c>
      <c r="F11" s="235" t="s">
        <v>122</v>
      </c>
    </row>
    <row r="12" spans="5:24" ht="20.100000000000001" customHeight="1">
      <c r="E12" s="20" t="s">
        <v>109</v>
      </c>
      <c r="F12" s="235" t="s">
        <v>112</v>
      </c>
    </row>
    <row r="13" spans="5:24" ht="20.100000000000001" customHeight="1">
      <c r="E13" s="20" t="s">
        <v>293</v>
      </c>
      <c r="F13" s="235" t="s">
        <v>116</v>
      </c>
      <c r="R13" s="287"/>
    </row>
    <row r="14" spans="5:24" ht="30.75" customHeight="1">
      <c r="E14" s="312" t="s">
        <v>1055</v>
      </c>
      <c r="F14" s="329" t="s">
        <v>1073</v>
      </c>
      <c r="R14" s="288"/>
    </row>
    <row r="15" spans="5:24" ht="30" customHeight="1">
      <c r="E15" s="21" t="s">
        <v>110</v>
      </c>
      <c r="F15" s="368" t="s">
        <v>1070</v>
      </c>
      <c r="G15" s="288"/>
      <c r="I15" s="288"/>
      <c r="S15" s="288"/>
    </row>
    <row r="16" spans="5:24">
      <c r="E16" s="121" t="s">
        <v>303</v>
      </c>
      <c r="F16" s="333" t="str">
        <f>IF(F13=S1,M7,IF(F13=S2,M8,IF(F13=S3,M9,IF(F13=S4,M8,IF(F13=S5,M8,"")))))</f>
        <v>Regulation 31 (1) (b)</v>
      </c>
    </row>
    <row r="17" spans="4:7"/>
    <row r="18" spans="4:7" s="23" customFormat="1">
      <c r="E18" s="18"/>
      <c r="F18" s="18"/>
    </row>
    <row r="19" spans="4:7" s="23" customFormat="1" ht="21" hidden="1">
      <c r="E19" s="430"/>
      <c r="F19" s="430"/>
    </row>
    <row r="20" spans="4:7" s="23" customFormat="1" ht="21" hidden="1" customHeight="1">
      <c r="D20" s="311"/>
      <c r="G20" s="22"/>
    </row>
    <row r="21" spans="4:7" s="23" customFormat="1" ht="12.75" hidden="1" customHeight="1">
      <c r="D21" s="25"/>
      <c r="E21" s="311"/>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9">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customWidth="1"/>
    <col min="22" max="22" width="9"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customWidth="1"/>
    <col min="22" max="22" width="9"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customWidth="1"/>
    <col min="22" max="22" width="9.28515625"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c r="AR11" t="s">
        <v>939</v>
      </c>
    </row>
    <row r="12" spans="5:44" ht="15.7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8.140625"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4" t="s">
        <v>138</v>
      </c>
      <c r="F9" s="437" t="s">
        <v>137</v>
      </c>
      <c r="G9" s="463" t="s">
        <v>1</v>
      </c>
      <c r="H9" s="437" t="s">
        <v>3</v>
      </c>
      <c r="I9" s="463" t="s">
        <v>4</v>
      </c>
      <c r="J9" s="463" t="s">
        <v>5</v>
      </c>
      <c r="K9" s="463" t="s">
        <v>6</v>
      </c>
      <c r="L9" s="463" t="s">
        <v>7</v>
      </c>
      <c r="M9" s="463" t="s">
        <v>8</v>
      </c>
      <c r="N9" s="463"/>
      <c r="O9" s="463"/>
      <c r="P9" s="463"/>
      <c r="Q9" s="464" t="s">
        <v>1064</v>
      </c>
      <c r="R9" s="463" t="s">
        <v>10</v>
      </c>
      <c r="S9" s="464" t="s">
        <v>135</v>
      </c>
      <c r="T9" s="463" t="s">
        <v>107</v>
      </c>
      <c r="U9" s="463" t="s">
        <v>12</v>
      </c>
      <c r="V9" s="463"/>
      <c r="W9" s="463" t="s">
        <v>14</v>
      </c>
      <c r="X9" s="437" t="s">
        <v>1053</v>
      </c>
      <c r="AR9" t="s">
        <v>938</v>
      </c>
    </row>
    <row r="10" spans="5:44" ht="31.5" customHeight="1">
      <c r="E10" s="465"/>
      <c r="F10" s="463"/>
      <c r="G10" s="463"/>
      <c r="H10" s="463"/>
      <c r="I10" s="463"/>
      <c r="J10" s="463"/>
      <c r="K10" s="463"/>
      <c r="L10" s="463"/>
      <c r="M10" s="463" t="s">
        <v>15</v>
      </c>
      <c r="N10" s="463"/>
      <c r="O10" s="463"/>
      <c r="P10" s="463" t="s">
        <v>16</v>
      </c>
      <c r="Q10" s="465"/>
      <c r="R10" s="463"/>
      <c r="S10" s="465"/>
      <c r="T10" s="463"/>
      <c r="U10" s="463"/>
      <c r="V10" s="463"/>
      <c r="W10" s="463"/>
      <c r="X10" s="463"/>
      <c r="AR10" t="s">
        <v>928</v>
      </c>
    </row>
    <row r="11" spans="5:44" ht="78.75" customHeight="1">
      <c r="E11" s="466"/>
      <c r="F11" s="463"/>
      <c r="G11" s="463"/>
      <c r="H11" s="463"/>
      <c r="I11" s="463"/>
      <c r="J11" s="463"/>
      <c r="K11" s="463"/>
      <c r="L11" s="463"/>
      <c r="M11" s="44" t="s">
        <v>17</v>
      </c>
      <c r="N11" s="44" t="s">
        <v>18</v>
      </c>
      <c r="O11" s="44" t="s">
        <v>19</v>
      </c>
      <c r="P11" s="463"/>
      <c r="Q11" s="466"/>
      <c r="R11" s="463"/>
      <c r="S11" s="466"/>
      <c r="T11" s="463"/>
      <c r="U11" s="44" t="s">
        <v>20</v>
      </c>
      <c r="V11" s="44" t="s">
        <v>21</v>
      </c>
      <c r="W11" s="463"/>
      <c r="X11" s="463"/>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80" zoomScaleNormal="8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customWidth="1"/>
    <col min="24" max="24" width="8.28515625" customWidth="1"/>
    <col min="25" max="25" width="14.5703125" customWidth="1"/>
    <col min="26" max="26" width="16.85546875" customWidth="1"/>
    <col min="27" max="27" width="4.28515625" customWidth="1"/>
    <col min="28" max="28" width="2.5703125" customWidth="1"/>
    <col min="29" max="16383" width="5.140625" hidden="1"/>
    <col min="16384" max="16384" width="4.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64" t="s">
        <v>138</v>
      </c>
      <c r="E9" s="464" t="s">
        <v>34</v>
      </c>
      <c r="F9" s="464" t="s">
        <v>976</v>
      </c>
      <c r="G9" s="438" t="s">
        <v>137</v>
      </c>
      <c r="H9" s="463" t="s">
        <v>1</v>
      </c>
      <c r="I9" s="438" t="s">
        <v>961</v>
      </c>
      <c r="J9" s="463" t="s">
        <v>3</v>
      </c>
      <c r="K9" s="463" t="s">
        <v>4</v>
      </c>
      <c r="L9" s="463" t="s">
        <v>5</v>
      </c>
      <c r="M9" s="463" t="s">
        <v>6</v>
      </c>
      <c r="N9" s="463" t="s">
        <v>7</v>
      </c>
      <c r="O9" s="463" t="s">
        <v>8</v>
      </c>
      <c r="P9" s="463"/>
      <c r="Q9" s="463"/>
      <c r="R9" s="463"/>
      <c r="S9" s="463" t="s">
        <v>9</v>
      </c>
      <c r="T9" s="464" t="s">
        <v>1064</v>
      </c>
      <c r="U9" s="464" t="s">
        <v>139</v>
      </c>
      <c r="V9" s="463" t="s">
        <v>107</v>
      </c>
      <c r="W9" s="463" t="s">
        <v>12</v>
      </c>
      <c r="X9" s="463"/>
      <c r="Y9" s="463" t="s">
        <v>14</v>
      </c>
      <c r="Z9" s="437" t="s">
        <v>1053</v>
      </c>
      <c r="AG9" s="75" t="s">
        <v>940</v>
      </c>
      <c r="AV9" t="s">
        <v>34</v>
      </c>
    </row>
    <row r="10" spans="4:48" ht="31.5" customHeight="1">
      <c r="D10" s="465"/>
      <c r="E10" s="465"/>
      <c r="F10" s="465"/>
      <c r="G10" s="439"/>
      <c r="H10" s="463"/>
      <c r="I10" s="465"/>
      <c r="J10" s="463"/>
      <c r="K10" s="463"/>
      <c r="L10" s="463"/>
      <c r="M10" s="463"/>
      <c r="N10" s="463"/>
      <c r="O10" s="463" t="s">
        <v>15</v>
      </c>
      <c r="P10" s="463"/>
      <c r="Q10" s="463"/>
      <c r="R10" s="463" t="s">
        <v>16</v>
      </c>
      <c r="S10" s="463"/>
      <c r="T10" s="465"/>
      <c r="U10" s="491"/>
      <c r="V10" s="463"/>
      <c r="W10" s="463"/>
      <c r="X10" s="463"/>
      <c r="Y10" s="463"/>
      <c r="Z10" s="463"/>
      <c r="AG10" s="75" t="s">
        <v>931</v>
      </c>
      <c r="AV10" t="s">
        <v>979</v>
      </c>
    </row>
    <row r="11" spans="4:48" ht="75">
      <c r="D11" s="466"/>
      <c r="E11" s="466"/>
      <c r="F11" s="466"/>
      <c r="G11" s="440"/>
      <c r="H11" s="463"/>
      <c r="I11" s="466"/>
      <c r="J11" s="463"/>
      <c r="K11" s="463"/>
      <c r="L11" s="463"/>
      <c r="M11" s="463"/>
      <c r="N11" s="463"/>
      <c r="O11" s="44" t="s">
        <v>17</v>
      </c>
      <c r="P11" s="44" t="s">
        <v>18</v>
      </c>
      <c r="Q11" s="44" t="s">
        <v>19</v>
      </c>
      <c r="R11" s="463"/>
      <c r="S11" s="463"/>
      <c r="T11" s="466"/>
      <c r="U11" s="492"/>
      <c r="V11" s="463"/>
      <c r="W11" s="44" t="s">
        <v>20</v>
      </c>
      <c r="X11" s="44" t="s">
        <v>21</v>
      </c>
      <c r="Y11" s="463"/>
      <c r="Z11" s="463"/>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t="18.75" hidden="1" customHeight="1">
      <c r="D13" s="79"/>
      <c r="E13" s="88"/>
      <c r="F13" s="90"/>
      <c r="G13" s="90"/>
      <c r="H13" s="10"/>
      <c r="I13" s="16"/>
      <c r="J13" s="16"/>
      <c r="K13" s="51"/>
      <c r="L13" s="51"/>
      <c r="M13" s="265" t="str">
        <f>+IFERROR(IF(COUNT(J13:L13),ROUND(SUM(J13:L13),0),""),"")</f>
        <v/>
      </c>
      <c r="N13" s="263" t="str">
        <f>+IFERROR(IF(COUNT(M13),ROUND(M13/'Shareholding Pattern'!$L$57*100,2),""),"")</f>
        <v/>
      </c>
      <c r="O13" s="309"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16"/>
      <c r="Z13" s="315"/>
      <c r="AC13" s="11">
        <f>IF(SUM(H13:Y13)&gt;0,1,0)</f>
        <v>0</v>
      </c>
      <c r="AD13" s="11">
        <f>SUM(AC15:AC65535)</f>
        <v>0</v>
      </c>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ht="23.25" customHeight="1">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$AF$3:$AK$3</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1" width="14.5703125" customWidth="1"/>
    <col min="22" max="22" width="8.28515625"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row>
    <row r="12" spans="5:30"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15" hidden="1" customHeight="1">
      <c r="E15" s="230"/>
      <c r="F15" s="18"/>
      <c r="G15" s="18"/>
      <c r="H15" s="18"/>
      <c r="I15" s="18"/>
      <c r="J15" s="228"/>
      <c r="K15" s="228"/>
      <c r="L15" s="18"/>
      <c r="M15" s="18"/>
      <c r="N15" s="228"/>
      <c r="O15" s="228"/>
      <c r="P15" s="18"/>
      <c r="Q15" s="18"/>
      <c r="R15" s="18"/>
      <c r="S15" s="18"/>
      <c r="T15" s="18"/>
      <c r="U15" s="18"/>
      <c r="V15" s="228"/>
      <c r="W15" s="229"/>
    </row>
    <row r="16" spans="5:30"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01" t="str">
        <f>+IFERROR(IF(COUNT(X13:X15),ROUND(SUM(X13:X15),0),""),"")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customWidth="1"/>
    <col min="22" max="22" width="10.140625"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row>
    <row r="12" spans="5:30" s="7" customFormat="1" ht="18.75" customHeight="1">
      <c r="E12" s="9" t="s">
        <v>96</v>
      </c>
      <c r="F12" s="84" t="s">
        <v>104</v>
      </c>
      <c r="G12" s="33"/>
      <c r="H12" s="33"/>
      <c r="I12" s="33"/>
      <c r="J12" s="33"/>
      <c r="K12" s="33"/>
      <c r="L12" s="33"/>
      <c r="M12" s="33"/>
      <c r="N12" s="33"/>
      <c r="O12" s="33"/>
      <c r="P12" s="33"/>
      <c r="Q12" s="33"/>
      <c r="R12" s="33"/>
      <c r="S12" s="33"/>
      <c r="T12" s="33"/>
      <c r="U12" s="33"/>
      <c r="V12" s="33"/>
      <c r="W12" s="33"/>
      <c r="X12" s="34"/>
    </row>
    <row r="13" spans="5:30"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26"/>
  <sheetViews>
    <sheetView showGridLines="0" topLeftCell="A10" zoomScale="90" zoomScaleNormal="90" workbookViewId="0">
      <selection activeCell="F26" sqref="F2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customWidth="1"/>
    <col min="22" max="22" width="8.85546875"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10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row>
    <row r="12" spans="5:30"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30" s="11" customFormat="1" ht="15.7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SUM(AC25:AC65545)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customHeight="1">
      <c r="E15" s="221">
        <v>1</v>
      </c>
      <c r="F15" s="375" t="s">
        <v>1094</v>
      </c>
      <c r="G15" s="371" t="s">
        <v>1095</v>
      </c>
      <c r="H15" s="51">
        <v>90000</v>
      </c>
      <c r="I15" s="51"/>
      <c r="J15" s="51"/>
      <c r="K15" s="373">
        <f t="shared" ref="K15:K24" si="0">+IFERROR(IF(COUNT(H15:J15),ROUND(SUM(H15:J15),0),""),"")</f>
        <v>90000</v>
      </c>
      <c r="L15" s="55">
        <f>+IFERROR(IF(COUNT(K15),ROUND(K15/'Shareholding Pattern'!$L$57*100,2),""),"")</f>
        <v>1.39</v>
      </c>
      <c r="M15" s="233">
        <v>90000</v>
      </c>
      <c r="N15" s="233"/>
      <c r="O15" s="319">
        <f t="shared" ref="O15:O24" si="1">+IFERROR(IF(COUNT(M15:N15),ROUND(SUM(M15,N15),2),""),"")</f>
        <v>90000</v>
      </c>
      <c r="P15" s="55">
        <f>+IFERROR(IF(COUNT(O15),ROUND(O15/('Shareholding Pattern'!$P$58)*100,2),""),"")</f>
        <v>1.39</v>
      </c>
      <c r="Q15" s="51"/>
      <c r="R15" s="51"/>
      <c r="S15" s="373" t="str">
        <f t="shared" ref="S15:S24" si="2">+IFERROR(IF(COUNT(Q15:R15),ROUND(SUM(Q15:R15),0),""),"")</f>
        <v/>
      </c>
      <c r="T15" s="17">
        <f>+IFERROR(IF(COUNT(K15,S15),ROUND(SUM(S15,K15)/SUM('Shareholding Pattern'!$L$57,'Shareholding Pattern'!$T$57)*100,2),""),"")</f>
        <v>1.39</v>
      </c>
      <c r="U15" s="51">
        <v>0</v>
      </c>
      <c r="V15" s="319">
        <f t="shared" ref="V15:V24" si="3">+IFERROR(IF(COUNT(U15),ROUND(SUM(U15)/SUM(K15)*100,2),""),0)</f>
        <v>0</v>
      </c>
      <c r="W15" s="51">
        <v>90000</v>
      </c>
      <c r="X15" s="317"/>
      <c r="Y15" s="11"/>
      <c r="Z15" s="11"/>
      <c r="AA15" s="11"/>
      <c r="AB15" s="11"/>
      <c r="AC15" s="11">
        <f t="shared" ref="AC15:AC24" si="4">IF(SUM(H15:W15)&gt;0,1,0)</f>
        <v>1</v>
      </c>
    </row>
    <row r="16" spans="5:30" ht="24.95" customHeight="1">
      <c r="E16" s="221">
        <v>2</v>
      </c>
      <c r="F16" s="375" t="s">
        <v>1096</v>
      </c>
      <c r="G16" s="371" t="s">
        <v>1097</v>
      </c>
      <c r="H16" s="51">
        <v>80179</v>
      </c>
      <c r="I16" s="51"/>
      <c r="J16" s="51"/>
      <c r="K16" s="373">
        <f t="shared" si="0"/>
        <v>80179</v>
      </c>
      <c r="L16" s="55">
        <f>+IFERROR(IF(COUNT(K16),ROUND(K16/'Shareholding Pattern'!$L$57*100,2),""),"")</f>
        <v>1.24</v>
      </c>
      <c r="M16" s="233">
        <v>80179</v>
      </c>
      <c r="N16" s="233"/>
      <c r="O16" s="319">
        <f t="shared" si="1"/>
        <v>80179</v>
      </c>
      <c r="P16" s="55">
        <f>+IFERROR(IF(COUNT(O16),ROUND(O16/('Shareholding Pattern'!$P$58)*100,2),""),"")</f>
        <v>1.24</v>
      </c>
      <c r="Q16" s="51"/>
      <c r="R16" s="51"/>
      <c r="S16" s="373" t="str">
        <f t="shared" si="2"/>
        <v/>
      </c>
      <c r="T16" s="17">
        <f>+IFERROR(IF(COUNT(K16,S16),ROUND(SUM(S16,K16)/SUM('Shareholding Pattern'!$L$57,'Shareholding Pattern'!$T$57)*100,2),""),"")</f>
        <v>1.24</v>
      </c>
      <c r="U16" s="51">
        <v>0</v>
      </c>
      <c r="V16" s="319">
        <f t="shared" si="3"/>
        <v>0</v>
      </c>
      <c r="W16" s="51">
        <v>80179</v>
      </c>
      <c r="X16" s="317"/>
      <c r="Y16" s="11"/>
      <c r="Z16" s="11"/>
      <c r="AA16" s="11"/>
      <c r="AB16" s="11"/>
      <c r="AC16" s="11">
        <f t="shared" si="4"/>
        <v>1</v>
      </c>
    </row>
    <row r="17" spans="5:29" ht="24.95" customHeight="1">
      <c r="E17" s="221">
        <v>3</v>
      </c>
      <c r="F17" s="375" t="s">
        <v>1098</v>
      </c>
      <c r="G17" s="371" t="s">
        <v>1099</v>
      </c>
      <c r="H17" s="51">
        <v>80000</v>
      </c>
      <c r="I17" s="51"/>
      <c r="J17" s="51"/>
      <c r="K17" s="373">
        <f t="shared" si="0"/>
        <v>80000</v>
      </c>
      <c r="L17" s="55">
        <f>+IFERROR(IF(COUNT(K17),ROUND(K17/'Shareholding Pattern'!$L$57*100,2),""),"")</f>
        <v>1.24</v>
      </c>
      <c r="M17" s="233">
        <v>80000</v>
      </c>
      <c r="N17" s="233"/>
      <c r="O17" s="319">
        <f t="shared" si="1"/>
        <v>80000</v>
      </c>
      <c r="P17" s="55">
        <f>+IFERROR(IF(COUNT(O17),ROUND(O17/('Shareholding Pattern'!$P$58)*100,2),""),"")</f>
        <v>1.24</v>
      </c>
      <c r="Q17" s="51"/>
      <c r="R17" s="51"/>
      <c r="S17" s="373" t="str">
        <f t="shared" si="2"/>
        <v/>
      </c>
      <c r="T17" s="17">
        <f>+IFERROR(IF(COUNT(K17,S17),ROUND(SUM(S17,K17)/SUM('Shareholding Pattern'!$L$57,'Shareholding Pattern'!$T$57)*100,2),""),"")</f>
        <v>1.24</v>
      </c>
      <c r="U17" s="51">
        <v>0</v>
      </c>
      <c r="V17" s="319">
        <f t="shared" si="3"/>
        <v>0</v>
      </c>
      <c r="W17" s="51">
        <v>80000</v>
      </c>
      <c r="X17" s="317"/>
      <c r="Y17" s="11"/>
      <c r="Z17" s="11"/>
      <c r="AA17" s="11"/>
      <c r="AB17" s="11"/>
      <c r="AC17" s="11">
        <f t="shared" si="4"/>
        <v>1</v>
      </c>
    </row>
    <row r="18" spans="5:29" ht="24.95" customHeight="1">
      <c r="E18" s="221">
        <v>4</v>
      </c>
      <c r="F18" s="375" t="s">
        <v>1100</v>
      </c>
      <c r="G18" s="371" t="s">
        <v>1101</v>
      </c>
      <c r="H18" s="51">
        <v>70000</v>
      </c>
      <c r="I18" s="51"/>
      <c r="J18" s="51"/>
      <c r="K18" s="373">
        <f t="shared" si="0"/>
        <v>70000</v>
      </c>
      <c r="L18" s="55">
        <f>+IFERROR(IF(COUNT(K18),ROUND(K18/'Shareholding Pattern'!$L$57*100,2),""),"")</f>
        <v>1.08</v>
      </c>
      <c r="M18" s="233">
        <v>70000</v>
      </c>
      <c r="N18" s="233"/>
      <c r="O18" s="319">
        <f t="shared" si="1"/>
        <v>70000</v>
      </c>
      <c r="P18" s="55">
        <f>+IFERROR(IF(COUNT(O18),ROUND(O18/('Shareholding Pattern'!$P$58)*100,2),""),"")</f>
        <v>1.08</v>
      </c>
      <c r="Q18" s="51"/>
      <c r="R18" s="51"/>
      <c r="S18" s="373" t="str">
        <f t="shared" si="2"/>
        <v/>
      </c>
      <c r="T18" s="17">
        <f>+IFERROR(IF(COUNT(K18,S18),ROUND(SUM(S18,K18)/SUM('Shareholding Pattern'!$L$57,'Shareholding Pattern'!$T$57)*100,2),""),"")</f>
        <v>1.08</v>
      </c>
      <c r="U18" s="51">
        <v>0</v>
      </c>
      <c r="V18" s="319">
        <f t="shared" si="3"/>
        <v>0</v>
      </c>
      <c r="W18" s="51">
        <v>70000</v>
      </c>
      <c r="X18" s="317"/>
      <c r="Y18" s="11"/>
      <c r="Z18" s="11"/>
      <c r="AA18" s="11"/>
      <c r="AB18" s="11"/>
      <c r="AC18" s="11">
        <f t="shared" si="4"/>
        <v>1</v>
      </c>
    </row>
    <row r="19" spans="5:29" ht="24.95" customHeight="1">
      <c r="E19" s="221">
        <v>5</v>
      </c>
      <c r="F19" s="375" t="s">
        <v>1102</v>
      </c>
      <c r="G19" s="371"/>
      <c r="H19" s="51">
        <v>82000</v>
      </c>
      <c r="I19" s="51"/>
      <c r="J19" s="51"/>
      <c r="K19" s="373">
        <f t="shared" si="0"/>
        <v>82000</v>
      </c>
      <c r="L19" s="55">
        <f>+IFERROR(IF(COUNT(K19),ROUND(K19/'Shareholding Pattern'!$L$57*100,2),""),"")</f>
        <v>1.27</v>
      </c>
      <c r="M19" s="233">
        <v>82000</v>
      </c>
      <c r="N19" s="233"/>
      <c r="O19" s="319">
        <f t="shared" si="1"/>
        <v>82000</v>
      </c>
      <c r="P19" s="55">
        <f>+IFERROR(IF(COUNT(O19),ROUND(O19/('Shareholding Pattern'!$P$58)*100,2),""),"")</f>
        <v>1.27</v>
      </c>
      <c r="Q19" s="51"/>
      <c r="R19" s="51"/>
      <c r="S19" s="373" t="str">
        <f t="shared" si="2"/>
        <v/>
      </c>
      <c r="T19" s="17">
        <f>+IFERROR(IF(COUNT(K19,S19),ROUND(SUM(S19,K19)/SUM('Shareholding Pattern'!$L$57,'Shareholding Pattern'!$T$57)*100,2),""),"")</f>
        <v>1.27</v>
      </c>
      <c r="U19" s="51">
        <v>0</v>
      </c>
      <c r="V19" s="319">
        <f t="shared" si="3"/>
        <v>0</v>
      </c>
      <c r="W19" s="51">
        <v>0</v>
      </c>
      <c r="X19" s="317">
        <v>3</v>
      </c>
      <c r="Y19" s="11"/>
      <c r="Z19" s="11"/>
      <c r="AA19" s="11"/>
      <c r="AB19" s="11"/>
      <c r="AC19" s="11">
        <f t="shared" si="4"/>
        <v>1</v>
      </c>
    </row>
    <row r="20" spans="5:29" ht="24.95" customHeight="1">
      <c r="E20" s="221">
        <v>6</v>
      </c>
      <c r="F20" s="375" t="s">
        <v>1103</v>
      </c>
      <c r="G20" s="371"/>
      <c r="H20" s="51">
        <v>120000</v>
      </c>
      <c r="I20" s="51"/>
      <c r="J20" s="51"/>
      <c r="K20" s="373">
        <f t="shared" si="0"/>
        <v>120000</v>
      </c>
      <c r="L20" s="55">
        <f>+IFERROR(IF(COUNT(K20),ROUND(K20/'Shareholding Pattern'!$L$57*100,2),""),"")</f>
        <v>1.85</v>
      </c>
      <c r="M20" s="233">
        <v>120000</v>
      </c>
      <c r="N20" s="233"/>
      <c r="O20" s="319">
        <f t="shared" si="1"/>
        <v>120000</v>
      </c>
      <c r="P20" s="55">
        <f>+IFERROR(IF(COUNT(O20),ROUND(O20/('Shareholding Pattern'!$P$58)*100,2),""),"")</f>
        <v>1.85</v>
      </c>
      <c r="Q20" s="51"/>
      <c r="R20" s="51"/>
      <c r="S20" s="373" t="str">
        <f t="shared" si="2"/>
        <v/>
      </c>
      <c r="T20" s="17">
        <f>+IFERROR(IF(COUNT(K20,S20),ROUND(SUM(S20,K20)/SUM('Shareholding Pattern'!$L$57,'Shareholding Pattern'!$T$57)*100,2),""),"")</f>
        <v>1.85</v>
      </c>
      <c r="U20" s="51">
        <v>0</v>
      </c>
      <c r="V20" s="319">
        <f t="shared" si="3"/>
        <v>0</v>
      </c>
      <c r="W20" s="51">
        <v>0</v>
      </c>
      <c r="X20" s="317">
        <v>4</v>
      </c>
      <c r="Y20" s="11"/>
      <c r="Z20" s="11"/>
      <c r="AA20" s="11"/>
      <c r="AB20" s="11"/>
      <c r="AC20" s="11">
        <f t="shared" si="4"/>
        <v>1</v>
      </c>
    </row>
    <row r="21" spans="5:29" ht="24.95" customHeight="1">
      <c r="E21" s="221">
        <v>7</v>
      </c>
      <c r="F21" s="375" t="s">
        <v>1104</v>
      </c>
      <c r="G21" s="371"/>
      <c r="H21" s="51">
        <v>120000</v>
      </c>
      <c r="I21" s="51"/>
      <c r="J21" s="51"/>
      <c r="K21" s="373">
        <f t="shared" si="0"/>
        <v>120000</v>
      </c>
      <c r="L21" s="55">
        <f>+IFERROR(IF(COUNT(K21),ROUND(K21/'Shareholding Pattern'!$L$57*100,2),""),"")</f>
        <v>1.85</v>
      </c>
      <c r="M21" s="233">
        <v>120000</v>
      </c>
      <c r="N21" s="233"/>
      <c r="O21" s="319">
        <f t="shared" si="1"/>
        <v>120000</v>
      </c>
      <c r="P21" s="55">
        <f>+IFERROR(IF(COUNT(O21),ROUND(O21/('Shareholding Pattern'!$P$58)*100,2),""),"")</f>
        <v>1.85</v>
      </c>
      <c r="Q21" s="51"/>
      <c r="R21" s="51"/>
      <c r="S21" s="373" t="str">
        <f t="shared" si="2"/>
        <v/>
      </c>
      <c r="T21" s="17">
        <f>+IFERROR(IF(COUNT(K21,S21),ROUND(SUM(S21,K21)/SUM('Shareholding Pattern'!$L$57,'Shareholding Pattern'!$T$57)*100,2),""),"")</f>
        <v>1.85</v>
      </c>
      <c r="U21" s="51">
        <v>0</v>
      </c>
      <c r="V21" s="319">
        <f t="shared" si="3"/>
        <v>0</v>
      </c>
      <c r="W21" s="51">
        <v>0</v>
      </c>
      <c r="X21" s="317">
        <v>5</v>
      </c>
      <c r="Y21" s="11"/>
      <c r="Z21" s="11"/>
      <c r="AA21" s="11"/>
      <c r="AB21" s="11"/>
      <c r="AC21" s="11">
        <f t="shared" si="4"/>
        <v>1</v>
      </c>
    </row>
    <row r="22" spans="5:29" ht="24.95" customHeight="1">
      <c r="E22" s="221">
        <v>8</v>
      </c>
      <c r="F22" s="375" t="s">
        <v>1105</v>
      </c>
      <c r="G22" s="371"/>
      <c r="H22" s="51">
        <v>120000</v>
      </c>
      <c r="I22" s="51"/>
      <c r="J22" s="51"/>
      <c r="K22" s="373">
        <f t="shared" si="0"/>
        <v>120000</v>
      </c>
      <c r="L22" s="55">
        <f>+IFERROR(IF(COUNT(K22),ROUND(K22/'Shareholding Pattern'!$L$57*100,2),""),"")</f>
        <v>1.85</v>
      </c>
      <c r="M22" s="233">
        <v>120000</v>
      </c>
      <c r="N22" s="233"/>
      <c r="O22" s="319">
        <f t="shared" si="1"/>
        <v>120000</v>
      </c>
      <c r="P22" s="55">
        <f>+IFERROR(IF(COUNT(O22),ROUND(O22/('Shareholding Pattern'!$P$58)*100,2),""),"")</f>
        <v>1.85</v>
      </c>
      <c r="Q22" s="51"/>
      <c r="R22" s="51"/>
      <c r="S22" s="373" t="str">
        <f t="shared" si="2"/>
        <v/>
      </c>
      <c r="T22" s="17">
        <f>+IFERROR(IF(COUNT(K22,S22),ROUND(SUM(S22,K22)/SUM('Shareholding Pattern'!$L$57,'Shareholding Pattern'!$T$57)*100,2),""),"")</f>
        <v>1.85</v>
      </c>
      <c r="U22" s="51">
        <v>0</v>
      </c>
      <c r="V22" s="319">
        <f t="shared" si="3"/>
        <v>0</v>
      </c>
      <c r="W22" s="51">
        <v>0</v>
      </c>
      <c r="X22" s="317">
        <v>6</v>
      </c>
      <c r="Y22" s="11"/>
      <c r="Z22" s="11"/>
      <c r="AA22" s="11"/>
      <c r="AB22" s="11"/>
      <c r="AC22" s="11">
        <f t="shared" si="4"/>
        <v>1</v>
      </c>
    </row>
    <row r="23" spans="5:29" ht="24.95" customHeight="1">
      <c r="E23" s="221">
        <v>9</v>
      </c>
      <c r="F23" s="375" t="s">
        <v>1106</v>
      </c>
      <c r="G23" s="371"/>
      <c r="H23" s="51">
        <v>120000</v>
      </c>
      <c r="I23" s="51"/>
      <c r="J23" s="51"/>
      <c r="K23" s="373">
        <f t="shared" si="0"/>
        <v>120000</v>
      </c>
      <c r="L23" s="55">
        <f>+IFERROR(IF(COUNT(K23),ROUND(K23/'Shareholding Pattern'!$L$57*100,2),""),"")</f>
        <v>1.85</v>
      </c>
      <c r="M23" s="233">
        <v>120000</v>
      </c>
      <c r="N23" s="233"/>
      <c r="O23" s="319">
        <f t="shared" si="1"/>
        <v>120000</v>
      </c>
      <c r="P23" s="55">
        <f>+IFERROR(IF(COUNT(O23),ROUND(O23/('Shareholding Pattern'!$P$58)*100,2),""),"")</f>
        <v>1.85</v>
      </c>
      <c r="Q23" s="51"/>
      <c r="R23" s="51"/>
      <c r="S23" s="373" t="str">
        <f t="shared" si="2"/>
        <v/>
      </c>
      <c r="T23" s="17">
        <f>+IFERROR(IF(COUNT(K23,S23),ROUND(SUM(S23,K23)/SUM('Shareholding Pattern'!$L$57,'Shareholding Pattern'!$T$57)*100,2),""),"")</f>
        <v>1.85</v>
      </c>
      <c r="U23" s="51">
        <v>0</v>
      </c>
      <c r="V23" s="319">
        <f t="shared" si="3"/>
        <v>0</v>
      </c>
      <c r="W23" s="51">
        <v>0</v>
      </c>
      <c r="X23" s="317">
        <v>7</v>
      </c>
      <c r="Y23" s="11"/>
      <c r="Z23" s="11"/>
      <c r="AA23" s="11"/>
      <c r="AB23" s="11"/>
      <c r="AC23" s="11">
        <f t="shared" si="4"/>
        <v>1</v>
      </c>
    </row>
    <row r="24" spans="5:29" ht="24.95" customHeight="1">
      <c r="E24" s="221">
        <v>10</v>
      </c>
      <c r="F24" s="375" t="s">
        <v>1107</v>
      </c>
      <c r="G24" s="371"/>
      <c r="H24" s="51">
        <v>155000</v>
      </c>
      <c r="I24" s="51"/>
      <c r="J24" s="51"/>
      <c r="K24" s="373">
        <f t="shared" si="0"/>
        <v>155000</v>
      </c>
      <c r="L24" s="55">
        <f>+IFERROR(IF(COUNT(K24),ROUND(K24/'Shareholding Pattern'!$L$57*100,2),""),"")</f>
        <v>2.39</v>
      </c>
      <c r="M24" s="233">
        <v>155000</v>
      </c>
      <c r="N24" s="233"/>
      <c r="O24" s="319">
        <f t="shared" si="1"/>
        <v>155000</v>
      </c>
      <c r="P24" s="55">
        <f>+IFERROR(IF(COUNT(O24),ROUND(O24/('Shareholding Pattern'!$P$58)*100,2),""),"")</f>
        <v>2.39</v>
      </c>
      <c r="Q24" s="51"/>
      <c r="R24" s="51"/>
      <c r="S24" s="373" t="str">
        <f t="shared" si="2"/>
        <v/>
      </c>
      <c r="T24" s="17">
        <f>+IFERROR(IF(COUNT(K24,S24),ROUND(SUM(S24,K24)/SUM('Shareholding Pattern'!$L$57,'Shareholding Pattern'!$T$57)*100,2),""),"")</f>
        <v>2.39</v>
      </c>
      <c r="U24" s="51">
        <v>0</v>
      </c>
      <c r="V24" s="319">
        <f t="shared" si="3"/>
        <v>0</v>
      </c>
      <c r="W24" s="51">
        <v>0</v>
      </c>
      <c r="X24" s="317">
        <v>8</v>
      </c>
      <c r="Y24" s="11"/>
      <c r="Z24" s="11"/>
      <c r="AA24" s="11"/>
      <c r="AB24" s="11"/>
      <c r="AC24" s="11">
        <f t="shared" si="4"/>
        <v>1</v>
      </c>
    </row>
    <row r="25" spans="5:29" ht="24.95" hidden="1" customHeight="1">
      <c r="E25" s="12"/>
      <c r="F25" s="13"/>
      <c r="G25" s="13"/>
      <c r="H25" s="13"/>
      <c r="I25" s="13"/>
      <c r="J25" s="13"/>
      <c r="K25" s="13"/>
      <c r="L25" s="13"/>
      <c r="M25" s="13"/>
      <c r="N25" s="13"/>
      <c r="O25" s="13"/>
      <c r="P25" s="13"/>
      <c r="Q25" s="13"/>
      <c r="R25" s="13"/>
      <c r="S25" s="13"/>
      <c r="T25" s="13"/>
      <c r="U25" s="13"/>
      <c r="V25" s="13"/>
      <c r="W25" s="224"/>
    </row>
    <row r="26" spans="5:29" ht="20.100000000000001" customHeight="1">
      <c r="E26" s="40"/>
      <c r="F26" s="96" t="s">
        <v>1002</v>
      </c>
      <c r="G26" s="83" t="s">
        <v>19</v>
      </c>
      <c r="H26" s="57">
        <f>+IFERROR(IF(COUNT(H14:H25),ROUND(SUM(H14:H25),0),""),"")</f>
        <v>1037179</v>
      </c>
      <c r="I26" s="57" t="str">
        <f>+IFERROR(IF(COUNT(I14:I25),ROUND(SUM(I14:I25),0),""),"")</f>
        <v/>
      </c>
      <c r="J26" s="57" t="str">
        <f>+IFERROR(IF(COUNT(J14:J25),ROUND(SUM(J14:J25),0),""),"")</f>
        <v/>
      </c>
      <c r="K26" s="57">
        <f>+IFERROR(IF(COUNT(K14:K25),ROUND(SUM(K14:K25),0),""),"")</f>
        <v>1037179</v>
      </c>
      <c r="L26" s="17">
        <f>+IFERROR(IF(COUNT(K26),ROUND(K26/'Shareholding Pattern'!$L$57*100,2),""),"")</f>
        <v>16.02</v>
      </c>
      <c r="M26" s="38">
        <f>+IFERROR(IF(COUNT(M14:M25),ROUND(SUM(M14:M25),0),""),"")</f>
        <v>1037179</v>
      </c>
      <c r="N26" s="38" t="str">
        <f>+IFERROR(IF(COUNT(N14:N25),ROUND(SUM(N14:N25),0),""),"")</f>
        <v/>
      </c>
      <c r="O26" s="38">
        <f>+IFERROR(IF(COUNT(O14:O25),ROUND(SUM(O14:O25),0),""),"")</f>
        <v>1037179</v>
      </c>
      <c r="P26" s="17">
        <f>+IFERROR(IF(COUNT(O26),ROUND(O26/('Shareholding Pattern'!$P$58)*100,2),""),"")</f>
        <v>16.02</v>
      </c>
      <c r="Q26" s="57" t="str">
        <f>+IFERROR(IF(COUNT(Q14:Q25),ROUND(SUM(Q14:Q25),0),""),"")</f>
        <v/>
      </c>
      <c r="R26" s="57" t="str">
        <f>+IFERROR(IF(COUNT(R14:R25),ROUND(SUM(R14:R25),0),""),"")</f>
        <v/>
      </c>
      <c r="S26" s="57" t="str">
        <f>+IFERROR(IF(COUNT(S14:S25),ROUND(SUM(S14:S25),0),""),"")</f>
        <v/>
      </c>
      <c r="T26" s="17">
        <f>+IFERROR(IF(COUNT(K26,S26),ROUND(SUM(S26,K26)/SUM('Shareholding Pattern'!$L$57,'Shareholding Pattern'!$T$57)*100,2),""),"")</f>
        <v>16.02</v>
      </c>
      <c r="U26" s="57">
        <f>+IFERROR(IF(COUNT(U14:U25),ROUND(SUM(U14:U25),0),""),"")</f>
        <v>0</v>
      </c>
      <c r="V26" s="17">
        <f>+IFERROR(IF(COUNT(U26),ROUND(SUM(U26)/SUM(K26)*100,2),""),0)</f>
        <v>0</v>
      </c>
      <c r="W26" s="57">
        <f>+IFERROR(IF(COUNT(W14:W25),ROUND(SUM(W14:W25),0),""),"")</f>
        <v>320179</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24">
      <formula1>H13</formula1>
    </dataValidation>
    <dataValidation type="whole" operator="lessThanOrEqual" allowBlank="1" showInputMessage="1" showErrorMessage="1" sqref="W13 W15:W24">
      <formula1>K13</formula1>
    </dataValidation>
    <dataValidation type="textLength" operator="equal" allowBlank="1" showInputMessage="1" showErrorMessage="1" prompt="[A-Z][A-Z][A-Z][A-Z][A-Z][0-9][0-9][0-9][0-9][A-Z]&#10;&#10;In absence of PAN write : ZZZZZ9999Z" sqref="G13 G15:G24">
      <formula1>10</formula1>
    </dataValidation>
    <dataValidation type="whole" operator="greaterThanOrEqual" allowBlank="1" showInputMessage="1" showErrorMessage="1" sqref="Q13:R13 H13:J13 M13:N13 Q15:R24 H15:J24 M15:N24">
      <formula1>0</formula1>
    </dataValidation>
  </dataValidations>
  <hyperlinks>
    <hyperlink ref="G26" location="'Shareholding Pattern'!F44" display="Total"/>
    <hyperlink ref="F26" location="'Shareholding Pattern'!F44" display="Total"/>
  </hyperlink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customWidth="1"/>
    <col min="22" max="22" width="9.28515625"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row>
    <row r="12" spans="5:30"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customWidth="1"/>
    <col min="22" max="22" width="8.42578125"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row>
    <row r="12" spans="5:30" ht="18.75" customHeight="1">
      <c r="E12" s="9" t="s">
        <v>99</v>
      </c>
      <c r="F12" s="56" t="s">
        <v>68</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6"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G13" sqref="G13"/>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5" t="s">
        <v>122</v>
      </c>
      <c r="P10" s="18">
        <v>1</v>
      </c>
      <c r="R10" s="18" t="s">
        <v>313</v>
      </c>
    </row>
    <row r="11" spans="1:21" ht="20.100000000000001" customHeight="1">
      <c r="E11" s="29">
        <v>3</v>
      </c>
      <c r="F11" s="68" t="s">
        <v>129</v>
      </c>
      <c r="G11" s="235" t="s">
        <v>122</v>
      </c>
      <c r="P11" s="18">
        <v>1</v>
      </c>
      <c r="R11" s="18" t="s">
        <v>316</v>
      </c>
    </row>
    <row r="12" spans="1:21" ht="30">
      <c r="E12" s="29">
        <v>4</v>
      </c>
      <c r="F12" s="69" t="s">
        <v>130</v>
      </c>
      <c r="G12" s="235" t="s">
        <v>122</v>
      </c>
      <c r="P12" s="18">
        <v>1</v>
      </c>
      <c r="R12" s="18" t="s">
        <v>319</v>
      </c>
    </row>
    <row r="13" spans="1:21" ht="21.75" customHeight="1">
      <c r="E13" s="29">
        <v>5</v>
      </c>
      <c r="F13" s="67" t="s">
        <v>131</v>
      </c>
      <c r="G13" s="235" t="s">
        <v>111</v>
      </c>
      <c r="P13" s="18">
        <v>0</v>
      </c>
      <c r="R13" s="18" t="s">
        <v>322</v>
      </c>
    </row>
    <row r="14" spans="1:21" s="117" customFormat="1" ht="20.100000000000001" customHeight="1">
      <c r="A14" s="18"/>
      <c r="B14" s="18"/>
      <c r="C14" s="18"/>
      <c r="D14" s="18"/>
      <c r="E14" s="122">
        <v>6</v>
      </c>
      <c r="F14" s="123" t="s">
        <v>132</v>
      </c>
      <c r="G14" s="235" t="s">
        <v>122</v>
      </c>
      <c r="P14" s="117">
        <v>1</v>
      </c>
      <c r="R14" s="117" t="s">
        <v>325</v>
      </c>
    </row>
    <row r="15" spans="1:21" s="117" customFormat="1" ht="20.100000000000001" customHeight="1">
      <c r="A15" s="18"/>
      <c r="B15" s="18"/>
      <c r="C15" s="18"/>
      <c r="D15" s="18"/>
      <c r="E15" s="30">
        <v>7</v>
      </c>
      <c r="F15" s="70" t="s">
        <v>983</v>
      </c>
      <c r="G15" s="340" t="s">
        <v>122</v>
      </c>
      <c r="P15" s="117">
        <v>1</v>
      </c>
      <c r="R15" s="117" t="s">
        <v>306</v>
      </c>
    </row>
    <row r="16" spans="1:21"/>
  </sheetData>
  <sheetProtection password="F884" sheet="1" objects="1" scenarios="1"/>
  <dataValidations count="1">
    <dataValidation type="list" allowBlank="1" showInputMessage="1" showErrorMessage="1" sqref="G9:G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A1:XFC16"/>
  <sheetViews>
    <sheetView showGridLines="0" topLeftCell="F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customWidth="1"/>
    <col min="22" max="22" width="8.140625"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row>
    <row r="11" spans="5:30"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63"/>
      <c r="X11" s="463"/>
    </row>
    <row r="12" spans="5:30" ht="15.75">
      <c r="E12" s="9" t="s">
        <v>100</v>
      </c>
      <c r="F12" s="84" t="s">
        <v>69</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7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AZ26"/>
  <sheetViews>
    <sheetView showGridLines="0" topLeftCell="A6" zoomScale="80" zoomScaleNormal="80" workbookViewId="0">
      <selection activeCell="G23" sqref="G23"/>
    </sheetView>
  </sheetViews>
  <sheetFormatPr defaultColWidth="0" defaultRowHeight="15"/>
  <cols>
    <col min="1" max="1" width="2.28515625" customWidth="1"/>
    <col min="2" max="2" width="2.140625" hidden="1" customWidth="1"/>
    <col min="3" max="3" width="2" hidden="1" customWidth="1"/>
    <col min="4" max="4" width="7.140625" customWidth="1"/>
    <col min="5" max="5" width="39.85546875" customWidth="1"/>
    <col min="6" max="6" width="38.8554687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customWidth="1"/>
    <col min="24" max="24" width="8.5703125" customWidth="1"/>
    <col min="25" max="25" width="15.42578125" customWidth="1"/>
    <col min="26" max="26" width="20.85546875" customWidth="1"/>
    <col min="27" max="27" width="1.5703125" customWidth="1"/>
    <col min="28" max="28" width="3.7109375" customWidth="1"/>
    <col min="29" max="16384" width="10.7109375" hidden="1"/>
  </cols>
  <sheetData>
    <row r="1" spans="4:52" hidden="1">
      <c r="I1">
        <v>7</v>
      </c>
      <c r="J1">
        <v>0</v>
      </c>
      <c r="AE1" t="s">
        <v>1065</v>
      </c>
      <c r="AF1" t="s">
        <v>1066</v>
      </c>
      <c r="AG1" t="s">
        <v>1067</v>
      </c>
      <c r="AH1" t="s">
        <v>1068</v>
      </c>
      <c r="AI1" t="s">
        <v>1069</v>
      </c>
      <c r="AJ1" t="s">
        <v>927</v>
      </c>
      <c r="AK1" t="s">
        <v>1003</v>
      </c>
      <c r="AL1" t="s">
        <v>938</v>
      </c>
      <c r="AM1" t="s">
        <v>928</v>
      </c>
      <c r="AN1" t="s">
        <v>939</v>
      </c>
      <c r="AO1" t="s">
        <v>940</v>
      </c>
      <c r="AP1" t="s">
        <v>942</v>
      </c>
      <c r="AQ1" t="s">
        <v>929</v>
      </c>
      <c r="AR1" t="s">
        <v>930</v>
      </c>
      <c r="AS1" t="s">
        <v>931</v>
      </c>
      <c r="AT1" t="s">
        <v>936</v>
      </c>
      <c r="AU1" t="s">
        <v>992</v>
      </c>
      <c r="AV1" t="s">
        <v>941</v>
      </c>
      <c r="AW1" t="s">
        <v>1004</v>
      </c>
      <c r="AX1" t="s">
        <v>993</v>
      </c>
      <c r="AY1" t="s">
        <v>1052</v>
      </c>
      <c r="AZ1" t="s">
        <v>935</v>
      </c>
    </row>
    <row r="2" spans="4:52" hidden="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52" hidden="1">
      <c r="I3">
        <f ca="1">+IFERROR(IF(COUNT(I13:I22),ROUND(SUMIF($F$13:I22,"Category",I13:I22),0),""),"")</f>
        <v>81</v>
      </c>
      <c r="J3">
        <f ca="1">+IFERROR(IF(COUNT(J13:J22),ROUND(SUMIF($F$13:J22,"Category",J13:J22),0),""),"")</f>
        <v>1533728</v>
      </c>
      <c r="K3" t="str">
        <f>+IFERROR(IF(COUNT(K13:K22),ROUND(SUMIF($F$13:K22,"Category",K13:K22),0),""),"")</f>
        <v/>
      </c>
      <c r="L3" t="str">
        <f>+IFERROR(IF(COUNT(L13:L22),ROUND(SUMIF($F$13:L22,"Category",L13:L22),0),""),"")</f>
        <v/>
      </c>
      <c r="M3">
        <f ca="1">+IFERROR(IF(COUNT(M13:M22),ROUND(SUMIF($F$13:M22,"Category",M13:M22),0),""),"")</f>
        <v>1533728</v>
      </c>
      <c r="N3">
        <f ca="1">+IFERROR(IF(COUNT(N13:N22),ROUND(SUMIF($F$13:N22,"Category",N13:N22),2),""),"")</f>
        <v>23.68</v>
      </c>
      <c r="O3">
        <f ca="1">+IFERROR(IF(COUNT(O13:O22),ROUND(SUMIF($F$13:O22,"Category",O13:O22),0),""),"")</f>
        <v>1533728</v>
      </c>
      <c r="P3" t="str">
        <f>+IFERROR(IF(COUNT(P13:P22),ROUND(SUMIF($F$13:P22,"Category",P13:P22),0),""),"")</f>
        <v/>
      </c>
      <c r="Q3">
        <f ca="1">+IFERROR(IF(COUNT(Q13:Q22),ROUND(SUMIF($F$13:Q22,"Category",Q13:Q22),0),""),"")</f>
        <v>1533728</v>
      </c>
      <c r="R3">
        <f ca="1">+IFERROR(IF(COUNT(R13:R22),ROUND(SUMIF($F$13:R22,"Category",R13:R22),2),""),"")</f>
        <v>23.68</v>
      </c>
      <c r="S3" t="str">
        <f>+IFERROR(IF(COUNT(S13:S22),ROUND(SUMIF($F$13:S22,"Category",S13:S22),0),""),"")</f>
        <v/>
      </c>
      <c r="T3" t="str">
        <f>+IFERROR(IF(COUNT(T13:T22),ROUND(SUMIF($F$13:T22,"Category",T13:T22),0),""),"")</f>
        <v/>
      </c>
      <c r="U3" t="str">
        <f>+IFERROR(IF(COUNT(U13:U22),ROUND(SUMIF($F$13:U22,"Category",U13:U22),0),""),"")</f>
        <v/>
      </c>
      <c r="V3">
        <f ca="1">+IFERROR(IF(COUNT(V13:V22),ROUND(SUMIF($F$13:V22,"Category",V13:V22),2),""),"")</f>
        <v>23.68</v>
      </c>
      <c r="W3">
        <f ca="1">+IFERROR(IF(COUNT(W13:W22),ROUND(SUMIF($F$13:W22,"Category",W13:W22),0),""),"")</f>
        <v>0</v>
      </c>
      <c r="X3">
        <f ca="1">+IFERROR(IF(COUNT(X13:X22),ROUND(SUMIF($F$13:X22,"Category",X13:X22),2),""),"")</f>
        <v>0</v>
      </c>
      <c r="Y3">
        <f ca="1">+IFERROR(IF(COUNT(Y13:Y22),ROUND(SUMIF($F$13:Y22,"Category",Y13:Y22),0),""),"")</f>
        <v>1429028</v>
      </c>
    </row>
    <row r="4" spans="4:52" hidden="1"/>
    <row r="5" spans="4:52" hidden="1"/>
    <row r="9" spans="4:52" ht="29.25" customHeight="1">
      <c r="D9" s="464" t="s">
        <v>138</v>
      </c>
      <c r="E9" s="464" t="s">
        <v>34</v>
      </c>
      <c r="F9" s="464" t="s">
        <v>976</v>
      </c>
      <c r="G9" s="438" t="s">
        <v>137</v>
      </c>
      <c r="H9" s="463" t="s">
        <v>1</v>
      </c>
      <c r="I9" s="438" t="s">
        <v>961</v>
      </c>
      <c r="J9" s="463" t="s">
        <v>3</v>
      </c>
      <c r="K9" s="463" t="s">
        <v>4</v>
      </c>
      <c r="L9" s="463" t="s">
        <v>5</v>
      </c>
      <c r="M9" s="463" t="s">
        <v>6</v>
      </c>
      <c r="N9" s="463" t="s">
        <v>7</v>
      </c>
      <c r="O9" s="463" t="s">
        <v>8</v>
      </c>
      <c r="P9" s="463"/>
      <c r="Q9" s="463"/>
      <c r="R9" s="463"/>
      <c r="S9" s="463" t="s">
        <v>9</v>
      </c>
      <c r="T9" s="464" t="s">
        <v>1064</v>
      </c>
      <c r="U9" s="464" t="s">
        <v>135</v>
      </c>
      <c r="V9" s="463" t="s">
        <v>107</v>
      </c>
      <c r="W9" s="463" t="s">
        <v>12</v>
      </c>
      <c r="X9" s="463"/>
      <c r="Y9" s="463" t="s">
        <v>14</v>
      </c>
      <c r="Z9" s="437" t="s">
        <v>1053</v>
      </c>
      <c r="AV9" t="s">
        <v>34</v>
      </c>
    </row>
    <row r="10" spans="4:52" ht="31.5" customHeight="1">
      <c r="D10" s="465"/>
      <c r="E10" s="465"/>
      <c r="F10" s="465"/>
      <c r="G10" s="439"/>
      <c r="H10" s="463"/>
      <c r="I10" s="465"/>
      <c r="J10" s="463"/>
      <c r="K10" s="463"/>
      <c r="L10" s="463"/>
      <c r="M10" s="463"/>
      <c r="N10" s="463"/>
      <c r="O10" s="463" t="s">
        <v>15</v>
      </c>
      <c r="P10" s="463"/>
      <c r="Q10" s="463"/>
      <c r="R10" s="463" t="s">
        <v>16</v>
      </c>
      <c r="S10" s="463"/>
      <c r="T10" s="465"/>
      <c r="U10" s="465"/>
      <c r="V10" s="463"/>
      <c r="W10" s="463"/>
      <c r="X10" s="463"/>
      <c r="Y10" s="463"/>
      <c r="Z10" s="463"/>
      <c r="AV10" t="s">
        <v>979</v>
      </c>
    </row>
    <row r="11" spans="4:52" ht="75">
      <c r="D11" s="466"/>
      <c r="E11" s="466"/>
      <c r="F11" s="466"/>
      <c r="G11" s="440"/>
      <c r="H11" s="463"/>
      <c r="I11" s="466"/>
      <c r="J11" s="463"/>
      <c r="K11" s="463"/>
      <c r="L11" s="463"/>
      <c r="M11" s="463"/>
      <c r="N11" s="463"/>
      <c r="O11" s="44" t="s">
        <v>17</v>
      </c>
      <c r="P11" s="44" t="s">
        <v>18</v>
      </c>
      <c r="Q11" s="44" t="s">
        <v>19</v>
      </c>
      <c r="R11" s="463"/>
      <c r="S11" s="463"/>
      <c r="T11" s="466"/>
      <c r="U11" s="466"/>
      <c r="V11" s="463"/>
      <c r="W11" s="44" t="s">
        <v>20</v>
      </c>
      <c r="X11" s="44" t="s">
        <v>21</v>
      </c>
      <c r="Y11" s="463"/>
      <c r="Z11" s="463"/>
    </row>
    <row r="12" spans="4:52" ht="19.5" customHeight="1">
      <c r="D12" s="9" t="s">
        <v>101</v>
      </c>
      <c r="E12" s="94" t="s">
        <v>33</v>
      </c>
      <c r="F12" s="95"/>
      <c r="G12" s="236"/>
      <c r="H12" s="33"/>
      <c r="I12" s="33"/>
      <c r="J12" s="33"/>
      <c r="K12" s="33"/>
      <c r="L12" s="33"/>
      <c r="M12" s="33"/>
      <c r="N12" s="33"/>
      <c r="O12" s="33"/>
      <c r="P12" s="33"/>
      <c r="Q12" s="33"/>
      <c r="R12" s="33"/>
      <c r="S12" s="33"/>
      <c r="T12" s="33"/>
      <c r="U12" s="33"/>
      <c r="V12" s="33"/>
      <c r="W12" s="33"/>
      <c r="X12" s="33"/>
      <c r="Y12" s="33"/>
      <c r="Z12" s="34"/>
      <c r="AG12" s="11"/>
    </row>
    <row r="13" spans="4:52" s="11" customFormat="1" ht="20.25" hidden="1" customHeight="1">
      <c r="D13" s="104"/>
      <c r="E13" s="90"/>
      <c r="F13" s="90"/>
      <c r="G13" s="323"/>
      <c r="H13" s="10"/>
      <c r="I13" s="16"/>
      <c r="J13" s="16"/>
      <c r="K13" s="51"/>
      <c r="L13" s="51"/>
      <c r="M13" s="265" t="str">
        <f>+IFERROR(IF(COUNT(J13:L13),ROUND(SUM(J13:L13),0),""),"")</f>
        <v/>
      </c>
      <c r="N13" s="263" t="str">
        <f>+IFERROR(IF(COUNT(M13),ROUND(M13/'Shareholding Pattern'!$L$57*100,2),""),"")</f>
        <v/>
      </c>
      <c r="O13" s="309" t="str">
        <f>IF(J13="","",J13)</f>
        <v/>
      </c>
      <c r="P13" s="51"/>
      <c r="Q13" s="265"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317"/>
      <c r="AC13" s="11">
        <f>IF(SUM(H13:Y13)&gt;0,1,0)</f>
        <v>0</v>
      </c>
      <c r="AD13" s="11">
        <f>SUM(AC22:AC65541)</f>
        <v>0</v>
      </c>
      <c r="AG13"/>
    </row>
    <row r="14" spans="4:52" ht="22.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2" ht="22.5" customHeight="1">
      <c r="D15" s="104">
        <v>1</v>
      </c>
      <c r="E15" s="370" t="s">
        <v>928</v>
      </c>
      <c r="F15" s="370" t="s">
        <v>34</v>
      </c>
      <c r="G15" s="323"/>
      <c r="H15" s="369"/>
      <c r="I15" s="51">
        <v>45</v>
      </c>
      <c r="J15" s="51">
        <v>511150</v>
      </c>
      <c r="K15" s="51"/>
      <c r="L15" s="51"/>
      <c r="M15" s="376">
        <f t="shared" ref="M15:M21" si="0">+IFERROR(IF(COUNT(J15:L15),ROUND(SUM(J15:L15),0),""),"")</f>
        <v>511150</v>
      </c>
      <c r="N15" s="264">
        <f>+IFERROR(IF(COUNT(M15),ROUND(M15/'Shareholding Pattern'!$L$57*100,2),""),"")</f>
        <v>7.89</v>
      </c>
      <c r="O15" s="51">
        <v>511150</v>
      </c>
      <c r="P15" s="51"/>
      <c r="Q15" s="376">
        <f t="shared" ref="Q15:Q21" si="1">+IFERROR(IF(COUNT(O15:P15),ROUND(SUM(O15,P15),2),""),"")</f>
        <v>511150</v>
      </c>
      <c r="R15" s="264">
        <f>+IFERROR(IF(COUNT(Q15),ROUND(Q15/('Shareholding Pattern'!$P$58)*100,2),""),"")</f>
        <v>7.89</v>
      </c>
      <c r="S15" s="51"/>
      <c r="T15" s="51"/>
      <c r="U15" s="376" t="str">
        <f t="shared" ref="U15:U21" si="2">+IFERROR(IF(COUNT(S15:T15),ROUND(SUM(S15:T15),0),""),"")</f>
        <v/>
      </c>
      <c r="V15" s="263">
        <f>+IFERROR(IF(COUNT(M15,U15),ROUND(SUM(U15,M15)/SUM('Shareholding Pattern'!$L$57,'Shareholding Pattern'!$T$57)*100,2),""),"")</f>
        <v>7.89</v>
      </c>
      <c r="W15" s="51">
        <v>0</v>
      </c>
      <c r="X15" s="213">
        <f t="shared" ref="X15:X21" si="3">+IFERROR(IF(COUNT(W15),ROUND(SUM(W15)/SUM(M15)*100,2),""),0)</f>
        <v>0</v>
      </c>
      <c r="Y15" s="51">
        <v>406450</v>
      </c>
      <c r="Z15" s="317"/>
      <c r="AA15" s="11"/>
      <c r="AB15" s="11"/>
      <c r="AC15" s="11">
        <f t="shared" ref="AC15:AC21" si="4">IF(SUM(H15:Y15)&gt;0,1,0)</f>
        <v>1</v>
      </c>
    </row>
    <row r="16" spans="4:52" ht="22.5" customHeight="1">
      <c r="D16" s="104">
        <v>2</v>
      </c>
      <c r="E16" s="370" t="s">
        <v>939</v>
      </c>
      <c r="F16" s="370" t="s">
        <v>34</v>
      </c>
      <c r="G16" s="323"/>
      <c r="H16" s="369"/>
      <c r="I16" s="51">
        <v>17</v>
      </c>
      <c r="J16" s="51">
        <v>361985</v>
      </c>
      <c r="K16" s="51"/>
      <c r="L16" s="51"/>
      <c r="M16" s="376">
        <f t="shared" si="0"/>
        <v>361985</v>
      </c>
      <c r="N16" s="264">
        <f>+IFERROR(IF(COUNT(M16),ROUND(M16/'Shareholding Pattern'!$L$57*100,2),""),"")</f>
        <v>5.59</v>
      </c>
      <c r="O16" s="51">
        <v>361985</v>
      </c>
      <c r="P16" s="51"/>
      <c r="Q16" s="376">
        <f t="shared" si="1"/>
        <v>361985</v>
      </c>
      <c r="R16" s="264">
        <f>+IFERROR(IF(COUNT(Q16),ROUND(Q16/('Shareholding Pattern'!$P$58)*100,2),""),"")</f>
        <v>5.59</v>
      </c>
      <c r="S16" s="51"/>
      <c r="T16" s="51"/>
      <c r="U16" s="376" t="str">
        <f t="shared" si="2"/>
        <v/>
      </c>
      <c r="V16" s="263">
        <f>+IFERROR(IF(COUNT(M16,U16),ROUND(SUM(U16,M16)/SUM('Shareholding Pattern'!$L$57,'Shareholding Pattern'!$T$57)*100,2),""),"")</f>
        <v>5.59</v>
      </c>
      <c r="W16" s="51">
        <v>0</v>
      </c>
      <c r="X16" s="213">
        <f t="shared" si="3"/>
        <v>0</v>
      </c>
      <c r="Y16" s="51">
        <v>361985</v>
      </c>
      <c r="Z16" s="317"/>
      <c r="AA16" s="11"/>
      <c r="AB16" s="11"/>
      <c r="AC16" s="11">
        <f t="shared" si="4"/>
        <v>1</v>
      </c>
    </row>
    <row r="17" spans="4:29" ht="22.5" customHeight="1">
      <c r="D17" s="104">
        <v>3</v>
      </c>
      <c r="E17" s="370" t="s">
        <v>939</v>
      </c>
      <c r="F17" s="370" t="s">
        <v>979</v>
      </c>
      <c r="G17" s="370" t="s">
        <v>1086</v>
      </c>
      <c r="H17" s="371" t="s">
        <v>1087</v>
      </c>
      <c r="I17" s="372">
        <v>1</v>
      </c>
      <c r="J17" s="51">
        <v>84023</v>
      </c>
      <c r="K17" s="51"/>
      <c r="L17" s="51"/>
      <c r="M17" s="376">
        <f t="shared" si="0"/>
        <v>84023</v>
      </c>
      <c r="N17" s="264">
        <f>+IFERROR(IF(COUNT(M17),ROUND(M17/'Shareholding Pattern'!$L$57*100,2),""),"")</f>
        <v>1.3</v>
      </c>
      <c r="O17" s="51">
        <v>84023</v>
      </c>
      <c r="P17" s="51"/>
      <c r="Q17" s="376">
        <f t="shared" si="1"/>
        <v>84023</v>
      </c>
      <c r="R17" s="264">
        <f>+IFERROR(IF(COUNT(Q17),ROUND(Q17/('Shareholding Pattern'!$P$58)*100,2),""),"")</f>
        <v>1.3</v>
      </c>
      <c r="S17" s="51"/>
      <c r="T17" s="51"/>
      <c r="U17" s="376" t="str">
        <f t="shared" si="2"/>
        <v/>
      </c>
      <c r="V17" s="263">
        <f>+IFERROR(IF(COUNT(M17,U17),ROUND(SUM(U17,M17)/SUM('Shareholding Pattern'!$L$57,'Shareholding Pattern'!$T$57)*100,2),""),"")</f>
        <v>1.3</v>
      </c>
      <c r="W17" s="51">
        <v>0</v>
      </c>
      <c r="X17" s="213">
        <f t="shared" si="3"/>
        <v>0</v>
      </c>
      <c r="Y17" s="51">
        <v>84023</v>
      </c>
      <c r="Z17" s="317"/>
      <c r="AA17" s="11"/>
      <c r="AB17" s="11"/>
      <c r="AC17" s="11">
        <f t="shared" si="4"/>
        <v>1</v>
      </c>
    </row>
    <row r="18" spans="4:29" ht="22.5" customHeight="1">
      <c r="D18" s="104">
        <v>4</v>
      </c>
      <c r="E18" s="370" t="s">
        <v>1052</v>
      </c>
      <c r="F18" s="370" t="s">
        <v>34</v>
      </c>
      <c r="G18" s="323"/>
      <c r="H18" s="369"/>
      <c r="I18" s="51">
        <v>19</v>
      </c>
      <c r="J18" s="51">
        <v>660593</v>
      </c>
      <c r="K18" s="51"/>
      <c r="L18" s="51"/>
      <c r="M18" s="376">
        <f t="shared" si="0"/>
        <v>660593</v>
      </c>
      <c r="N18" s="264">
        <f>+IFERROR(IF(COUNT(M18),ROUND(M18/'Shareholding Pattern'!$L$57*100,2),""),"")</f>
        <v>10.199999999999999</v>
      </c>
      <c r="O18" s="51">
        <v>660593</v>
      </c>
      <c r="P18" s="51"/>
      <c r="Q18" s="376">
        <f t="shared" si="1"/>
        <v>660593</v>
      </c>
      <c r="R18" s="264">
        <f>+IFERROR(IF(COUNT(Q18),ROUND(Q18/('Shareholding Pattern'!$P$58)*100,2),""),"")</f>
        <v>10.199999999999999</v>
      </c>
      <c r="S18" s="51"/>
      <c r="T18" s="51"/>
      <c r="U18" s="376" t="str">
        <f t="shared" si="2"/>
        <v/>
      </c>
      <c r="V18" s="263">
        <f>+IFERROR(IF(COUNT(M18,U18),ROUND(SUM(U18,M18)/SUM('Shareholding Pattern'!$L$57,'Shareholding Pattern'!$T$57)*100,2),""),"")</f>
        <v>10.199999999999999</v>
      </c>
      <c r="W18" s="51">
        <v>0</v>
      </c>
      <c r="X18" s="213">
        <f t="shared" si="3"/>
        <v>0</v>
      </c>
      <c r="Y18" s="51">
        <v>660593</v>
      </c>
      <c r="Z18" s="317"/>
      <c r="AA18" s="11"/>
      <c r="AB18" s="11"/>
      <c r="AC18" s="11">
        <f t="shared" si="4"/>
        <v>1</v>
      </c>
    </row>
    <row r="19" spans="4:29" ht="22.5" customHeight="1">
      <c r="D19" s="104">
        <v>5</v>
      </c>
      <c r="E19" s="370" t="s">
        <v>1052</v>
      </c>
      <c r="F19" s="370" t="s">
        <v>979</v>
      </c>
      <c r="G19" s="370" t="s">
        <v>1088</v>
      </c>
      <c r="H19" s="371" t="s">
        <v>1089</v>
      </c>
      <c r="I19" s="372">
        <v>1</v>
      </c>
      <c r="J19" s="51">
        <v>132742</v>
      </c>
      <c r="K19" s="51"/>
      <c r="L19" s="51"/>
      <c r="M19" s="376">
        <f t="shared" si="0"/>
        <v>132742</v>
      </c>
      <c r="N19" s="264">
        <f>+IFERROR(IF(COUNT(M19),ROUND(M19/'Shareholding Pattern'!$L$57*100,2),""),"")</f>
        <v>2.0499999999999998</v>
      </c>
      <c r="O19" s="51">
        <v>132742</v>
      </c>
      <c r="P19" s="51"/>
      <c r="Q19" s="376">
        <f t="shared" si="1"/>
        <v>132742</v>
      </c>
      <c r="R19" s="264">
        <f>+IFERROR(IF(COUNT(Q19),ROUND(Q19/('Shareholding Pattern'!$P$58)*100,2),""),"")</f>
        <v>2.0499999999999998</v>
      </c>
      <c r="S19" s="51"/>
      <c r="T19" s="51"/>
      <c r="U19" s="376" t="str">
        <f t="shared" si="2"/>
        <v/>
      </c>
      <c r="V19" s="263">
        <f>+IFERROR(IF(COUNT(M19,U19),ROUND(SUM(U19,M19)/SUM('Shareholding Pattern'!$L$57,'Shareholding Pattern'!$T$57)*100,2),""),"")</f>
        <v>2.0499999999999998</v>
      </c>
      <c r="W19" s="51">
        <v>0</v>
      </c>
      <c r="X19" s="213">
        <f t="shared" si="3"/>
        <v>0</v>
      </c>
      <c r="Y19" s="51">
        <v>132742</v>
      </c>
      <c r="Z19" s="317"/>
      <c r="AA19" s="11"/>
      <c r="AB19" s="11"/>
      <c r="AC19" s="11">
        <f t="shared" si="4"/>
        <v>1</v>
      </c>
    </row>
    <row r="20" spans="4:29" ht="22.5" customHeight="1">
      <c r="D20" s="104">
        <v>6</v>
      </c>
      <c r="E20" s="370" t="s">
        <v>1052</v>
      </c>
      <c r="F20" s="370" t="s">
        <v>979</v>
      </c>
      <c r="G20" s="370" t="s">
        <v>1090</v>
      </c>
      <c r="H20" s="371" t="s">
        <v>1091</v>
      </c>
      <c r="I20" s="372">
        <v>1</v>
      </c>
      <c r="J20" s="51">
        <v>216031</v>
      </c>
      <c r="K20" s="51"/>
      <c r="L20" s="51"/>
      <c r="M20" s="376">
        <f t="shared" si="0"/>
        <v>216031</v>
      </c>
      <c r="N20" s="264">
        <f>+IFERROR(IF(COUNT(M20),ROUND(M20/'Shareholding Pattern'!$L$57*100,2),""),"")</f>
        <v>3.34</v>
      </c>
      <c r="O20" s="51">
        <v>216031</v>
      </c>
      <c r="P20" s="51"/>
      <c r="Q20" s="376">
        <f t="shared" si="1"/>
        <v>216031</v>
      </c>
      <c r="R20" s="264">
        <f>+IFERROR(IF(COUNT(Q20),ROUND(Q20/('Shareholding Pattern'!$P$58)*100,2),""),"")</f>
        <v>3.34</v>
      </c>
      <c r="S20" s="51"/>
      <c r="T20" s="51"/>
      <c r="U20" s="376" t="str">
        <f t="shared" si="2"/>
        <v/>
      </c>
      <c r="V20" s="263">
        <f>+IFERROR(IF(COUNT(M20,U20),ROUND(SUM(U20,M20)/SUM('Shareholding Pattern'!$L$57,'Shareholding Pattern'!$T$57)*100,2),""),"")</f>
        <v>3.34</v>
      </c>
      <c r="W20" s="51">
        <v>0</v>
      </c>
      <c r="X20" s="213">
        <f t="shared" si="3"/>
        <v>0</v>
      </c>
      <c r="Y20" s="51">
        <v>216031</v>
      </c>
      <c r="Z20" s="317"/>
      <c r="AA20" s="11"/>
      <c r="AB20" s="11"/>
      <c r="AC20" s="11">
        <f t="shared" si="4"/>
        <v>1</v>
      </c>
    </row>
    <row r="21" spans="4:29" ht="22.5" customHeight="1">
      <c r="D21" s="104">
        <v>7</v>
      </c>
      <c r="E21" s="370" t="s">
        <v>1052</v>
      </c>
      <c r="F21" s="370" t="s">
        <v>979</v>
      </c>
      <c r="G21" s="370" t="s">
        <v>1092</v>
      </c>
      <c r="H21" s="371" t="s">
        <v>1093</v>
      </c>
      <c r="I21" s="372">
        <v>1</v>
      </c>
      <c r="J21" s="51">
        <v>71000</v>
      </c>
      <c r="K21" s="51"/>
      <c r="L21" s="51"/>
      <c r="M21" s="376">
        <f t="shared" si="0"/>
        <v>71000</v>
      </c>
      <c r="N21" s="264">
        <f>+IFERROR(IF(COUNT(M21),ROUND(M21/'Shareholding Pattern'!$L$57*100,2),""),"")</f>
        <v>1.1000000000000001</v>
      </c>
      <c r="O21" s="51">
        <v>71000</v>
      </c>
      <c r="P21" s="51"/>
      <c r="Q21" s="376">
        <f t="shared" si="1"/>
        <v>71000</v>
      </c>
      <c r="R21" s="264">
        <f>+IFERROR(IF(COUNT(Q21),ROUND(Q21/('Shareholding Pattern'!$P$58)*100,2),""),"")</f>
        <v>1.1000000000000001</v>
      </c>
      <c r="S21" s="51"/>
      <c r="T21" s="51"/>
      <c r="U21" s="376" t="str">
        <f t="shared" si="2"/>
        <v/>
      </c>
      <c r="V21" s="263">
        <f>+IFERROR(IF(COUNT(M21,U21),ROUND(SUM(U21,M21)/SUM('Shareholding Pattern'!$L$57,'Shareholding Pattern'!$T$57)*100,2),""),"")</f>
        <v>1.1000000000000001</v>
      </c>
      <c r="W21" s="51">
        <v>0</v>
      </c>
      <c r="X21" s="213">
        <f t="shared" si="3"/>
        <v>0</v>
      </c>
      <c r="Y21" s="51">
        <v>71000</v>
      </c>
      <c r="Z21" s="317"/>
      <c r="AA21" s="11"/>
      <c r="AB21" s="11"/>
      <c r="AC21" s="11">
        <f t="shared" si="4"/>
        <v>1</v>
      </c>
    </row>
    <row r="22" spans="4:29" ht="0.75" hidden="1" customHeight="1">
      <c r="D22" s="230"/>
      <c r="E22" s="18"/>
      <c r="F22" s="18"/>
      <c r="G22" s="18"/>
      <c r="H22" s="18"/>
      <c r="I22" s="18"/>
      <c r="J22" s="18"/>
      <c r="K22" s="228"/>
      <c r="L22" s="228"/>
      <c r="M22" s="18"/>
      <c r="N22" s="18"/>
      <c r="O22" s="228"/>
      <c r="P22" s="228"/>
      <c r="Q22" s="18"/>
      <c r="R22" s="18"/>
      <c r="S22" s="18"/>
      <c r="T22" s="18"/>
      <c r="U22" s="18"/>
      <c r="V22" s="18"/>
      <c r="W22" s="228"/>
      <c r="X22" s="18"/>
      <c r="Y22" s="229"/>
    </row>
    <row r="23" spans="4:29" ht="18.75" customHeight="1">
      <c r="D23" s="150"/>
      <c r="E23" s="39"/>
      <c r="F23" s="39"/>
      <c r="G23" s="64" t="s">
        <v>1002</v>
      </c>
      <c r="H23" s="64" t="s">
        <v>19</v>
      </c>
      <c r="I23" s="77">
        <f ca="1">+IFERROR(IF(COUNT(I13:I22),ROUND(SUMIF($F$13:I22,"Category",I13:I22),0),""),"")</f>
        <v>81</v>
      </c>
      <c r="J23" s="77">
        <f ca="1">+IFERROR(IF(COUNT(J13:J22),ROUND(SUMIF($F$13:J22,"Category",J13:J22),0),""),"")</f>
        <v>1533728</v>
      </c>
      <c r="K23" s="77" t="str">
        <f>+IFERROR(IF(COUNT(K13:K22),ROUND(SUMIF($F$13:K22,"Category",K13:K22),0),""),"")</f>
        <v/>
      </c>
      <c r="L23" s="77" t="str">
        <f>+IFERROR(IF(COUNT(L13:L22),ROUND(SUMIF($F$13:L22,"Category",L13:L22),0),""),"")</f>
        <v/>
      </c>
      <c r="M23" s="77">
        <f ca="1">+IFERROR(IF(COUNT(M13:M22),ROUND(SUMIF($F$13:M22,"Category",M13:M22),0),""),"")</f>
        <v>1533728</v>
      </c>
      <c r="N23" s="263">
        <f ca="1">+IFERROR(IF(COUNT(N13:N22),ROUND(SUMIF($F$13:N22,"Category",N13:N22),2),""),"")</f>
        <v>23.68</v>
      </c>
      <c r="O23" s="215">
        <f ca="1">+IFERROR(IF(COUNT(O13:O22),ROUND(SUMIF($F$13:O22,"Category",O13:O22),0),""),"")</f>
        <v>1533728</v>
      </c>
      <c r="P23" s="215" t="str">
        <f>+IFERROR(IF(COUNT(P13:P22),ROUND(SUMIF($F$13:P22,"Category",P13:P22),0),""),"")</f>
        <v/>
      </c>
      <c r="Q23" s="215">
        <f ca="1">+IFERROR(IF(COUNT(Q13:Q22),ROUND(SUMIF($F$13:Q22,"Category",Q13:Q22),0),""),"")</f>
        <v>1533728</v>
      </c>
      <c r="R23" s="263">
        <f ca="1">+IFERROR(IF(COUNT(R13:R22),ROUND(SUMIF($F$13:R22,"Category",R13:R22),2),""),"")</f>
        <v>23.68</v>
      </c>
      <c r="S23" s="77" t="str">
        <f>+IFERROR(IF(COUNT(S13:S22),ROUND(SUMIF($F$13:S22,"Category",S13:S22),0),""),"")</f>
        <v/>
      </c>
      <c r="T23" s="77" t="str">
        <f>+IFERROR(IF(COUNT(T13:T22),ROUND(SUMIF($F$13:T22,"Category",T13:T22),0),""),"")</f>
        <v/>
      </c>
      <c r="U23" s="77" t="str">
        <f>+IFERROR(IF(COUNT(U13:U22),ROUND(SUMIF($F$13:U22,"Category",U13:U22),0),""),"")</f>
        <v/>
      </c>
      <c r="V23" s="263">
        <f ca="1">+IFERROR(IF(COUNT(V13:V22),ROUND(SUMIF($F$13:V22,"Category",V13:V22),2),""),"")</f>
        <v>23.68</v>
      </c>
      <c r="W23" s="77">
        <f ca="1">+IFERROR(IF(COUNT(W13:W22),ROUND(SUMIF($F$13:W22,"Category",W13:W22),0),""),"")</f>
        <v>0</v>
      </c>
      <c r="X23" s="263">
        <f ca="1">+IFERROR(IF(COUNT(W23),ROUND(SUM(W23)/SUM(M23)*100,2),""),0)</f>
        <v>0</v>
      </c>
      <c r="Y23" s="77">
        <f ca="1">+IFERROR(IF(COUNT(Y13:Y22),ROUND(SUMIF($F$13:Y22,"Category",Y13:Y22),0),""),"")</f>
        <v>1429028</v>
      </c>
    </row>
    <row r="26" spans="4:29">
      <c r="G26" s="117"/>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6">
    <dataValidation type="whole" operator="lessThanOrEqual" allowBlank="1" showInputMessage="1" showErrorMessage="1" sqref="W13 W15:W21">
      <formula1>J13</formula1>
    </dataValidation>
    <dataValidation type="whole" operator="lessThanOrEqual" allowBlank="1" showInputMessage="1" showErrorMessage="1" sqref="Y13 Y15:Y21">
      <formula1>M13</formula1>
    </dataValidation>
    <dataValidation type="whole" operator="greaterThanOrEqual" allowBlank="1" showInputMessage="1" showErrorMessage="1" sqref="O13:P13 S13:T13 J13:L13 O15:P21 S15:T21 J15:L21">
      <formula1>0</formula1>
    </dataValidation>
    <dataValidation type="textLength" operator="equal" allowBlank="1" showInputMessage="1" showErrorMessage="1" prompt="[A-Z][A-Z][A-Z][A-Z][A-Z][0-9][0-9][0-9][0-9][A-Z]&#10;&#10;In absence of PAN write : ZZZZZ9999Z" sqref="H13 H15:H21">
      <formula1>10</formula1>
    </dataValidation>
    <dataValidation type="list" allowBlank="1" showInputMessage="1" showErrorMessage="1" sqref="F13 F15:F21">
      <formula1>$AV$9:$AV$10</formula1>
    </dataValidation>
    <dataValidation type="list" allowBlank="1" showInputMessage="1" showErrorMessage="1" sqref="E13 E15:E21">
      <formula1>$AE$1:$AZ$1</formula1>
    </dataValidation>
  </dataValidations>
  <hyperlinks>
    <hyperlink ref="H23" location="'Shareholding Pattern'!F48" display="Total"/>
    <hyperlink ref="G23" location="'Shareholding Pattern'!F48" display="Total"/>
  </hyperlinks>
  <pageMargins left="0.7" right="0.7" top="0.75" bottom="0.75" header="0.3" footer="0.3"/>
  <pageSetup orientation="portrait" r:id="rId1"/>
  <drawing r:id="rId2"/>
  <legacyDrawing r:id="rId3"/>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customWidth="1"/>
    <col min="23" max="23" width="8.7109375" customWidth="1"/>
    <col min="24" max="24" width="15.42578125" customWidth="1"/>
    <col min="25" max="25" width="19.7109375" customWidth="1"/>
    <col min="26" max="26" width="3.85546875" customWidth="1"/>
    <col min="27" max="27" width="4" customWidth="1"/>
    <col min="28" max="16383" width="3.85546875" hidden="1"/>
    <col min="16384" max="16384" width="4.85546875" hidden="1"/>
  </cols>
  <sheetData>
    <row r="1" spans="3:30" hidden="1">
      <c r="I1">
        <v>0</v>
      </c>
    </row>
    <row r="2" spans="3:30"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1053</v>
      </c>
      <c r="AC2" t="s">
        <v>943</v>
      </c>
    </row>
    <row r="3" spans="3:30" hidden="1">
      <c r="AC3" t="s">
        <v>944</v>
      </c>
    </row>
    <row r="4" spans="3:30" hidden="1">
      <c r="AC4" t="s">
        <v>945</v>
      </c>
    </row>
    <row r="5" spans="3:30" hidden="1">
      <c r="AC5" t="s">
        <v>946</v>
      </c>
    </row>
    <row r="6" spans="3:30" hidden="1">
      <c r="AC6" t="s">
        <v>947</v>
      </c>
    </row>
    <row r="7" spans="3:30" ht="15" customHeight="1">
      <c r="AC7" t="s">
        <v>935</v>
      </c>
    </row>
    <row r="8" spans="3:30" ht="15" customHeight="1"/>
    <row r="9" spans="3:30" ht="29.25" customHeight="1">
      <c r="C9" s="498" t="s">
        <v>141</v>
      </c>
      <c r="D9" s="464" t="s">
        <v>34</v>
      </c>
      <c r="E9" s="463" t="s">
        <v>140</v>
      </c>
      <c r="F9" s="463" t="s">
        <v>137</v>
      </c>
      <c r="G9" s="463" t="s">
        <v>1</v>
      </c>
      <c r="H9" s="437" t="s">
        <v>961</v>
      </c>
      <c r="I9" s="463" t="s">
        <v>3</v>
      </c>
      <c r="J9" s="463" t="s">
        <v>4</v>
      </c>
      <c r="K9" s="463" t="s">
        <v>5</v>
      </c>
      <c r="L9" s="463" t="s">
        <v>6</v>
      </c>
      <c r="M9" s="463" t="s">
        <v>7</v>
      </c>
      <c r="N9" s="463" t="s">
        <v>8</v>
      </c>
      <c r="O9" s="463"/>
      <c r="P9" s="463"/>
      <c r="Q9" s="463"/>
      <c r="R9" s="463" t="s">
        <v>9</v>
      </c>
      <c r="S9" s="464" t="s">
        <v>1064</v>
      </c>
      <c r="T9" s="464" t="s">
        <v>135</v>
      </c>
      <c r="U9" s="463" t="s">
        <v>107</v>
      </c>
      <c r="V9" s="463" t="s">
        <v>12</v>
      </c>
      <c r="W9" s="463"/>
      <c r="X9" s="463" t="s">
        <v>14</v>
      </c>
      <c r="Y9" s="437" t="s">
        <v>1053</v>
      </c>
    </row>
    <row r="10" spans="3:30" ht="31.5" customHeight="1">
      <c r="C10" s="499"/>
      <c r="D10" s="465"/>
      <c r="E10" s="463"/>
      <c r="F10" s="463"/>
      <c r="G10" s="463"/>
      <c r="H10" s="463"/>
      <c r="I10" s="463"/>
      <c r="J10" s="463"/>
      <c r="K10" s="463"/>
      <c r="L10" s="463"/>
      <c r="M10" s="463"/>
      <c r="N10" s="463" t="s">
        <v>15</v>
      </c>
      <c r="O10" s="463"/>
      <c r="P10" s="463"/>
      <c r="Q10" s="463" t="s">
        <v>16</v>
      </c>
      <c r="R10" s="463"/>
      <c r="S10" s="465"/>
      <c r="T10" s="465"/>
      <c r="U10" s="463"/>
      <c r="V10" s="463"/>
      <c r="W10" s="463"/>
      <c r="X10" s="463"/>
      <c r="Y10" s="463"/>
    </row>
    <row r="11" spans="3:30" ht="78.75" customHeight="1">
      <c r="C11" s="500"/>
      <c r="D11" s="466"/>
      <c r="E11" s="463"/>
      <c r="F11" s="463"/>
      <c r="G11" s="463"/>
      <c r="H11" s="463"/>
      <c r="I11" s="463"/>
      <c r="J11" s="463"/>
      <c r="K11" s="463"/>
      <c r="L11" s="463"/>
      <c r="M11" s="463"/>
      <c r="N11" s="44" t="s">
        <v>17</v>
      </c>
      <c r="O11" s="44" t="s">
        <v>18</v>
      </c>
      <c r="P11" s="44" t="s">
        <v>19</v>
      </c>
      <c r="Q11" s="463"/>
      <c r="R11" s="463"/>
      <c r="S11" s="466"/>
      <c r="T11" s="466"/>
      <c r="U11" s="463"/>
      <c r="V11" s="44" t="s">
        <v>20</v>
      </c>
      <c r="W11" s="44" t="s">
        <v>21</v>
      </c>
      <c r="X11" s="463"/>
      <c r="Y11" s="463"/>
    </row>
    <row r="12" spans="3:30" ht="18.75"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30" s="11" customFormat="1" ht="18.75" hidden="1" customHeight="1">
      <c r="C13" s="221"/>
      <c r="D13" s="90"/>
      <c r="E13" s="90"/>
      <c r="F13" s="90"/>
      <c r="G13" s="10"/>
      <c r="H13" s="306">
        <v>1</v>
      </c>
      <c r="I13" s="16"/>
      <c r="J13" s="51"/>
      <c r="K13" s="51"/>
      <c r="L13" s="50" t="str">
        <f>+IFERROR(IF(COUNT(I13:K13),ROUND(SUM(I13:K13),0),""),"")</f>
        <v/>
      </c>
      <c r="M13" s="151"/>
      <c r="N13" s="308"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+IFERROR(IF(V13="","",(+IF(V13=0,0,IF(COUNT(V13,L13),ROUND(SUM(V13)/SUM(L13)*100,2),"")))),"")</f>
        <v/>
      </c>
      <c r="X13" s="16"/>
      <c r="Y13" s="315"/>
      <c r="AC13" s="11">
        <f>IF(SUM(H13:X13)&gt;0,1,0)</f>
        <v>1</v>
      </c>
      <c r="AD13" s="11">
        <f>SUM(AC15:AC65535)</f>
        <v>0</v>
      </c>
    </row>
    <row r="14" spans="3:30" ht="24.95" customHeight="1">
      <c r="C14" s="49"/>
      <c r="D14" s="59"/>
      <c r="E14" s="295" t="s">
        <v>1048</v>
      </c>
      <c r="G14" s="47"/>
      <c r="H14" s="47"/>
      <c r="I14" s="47"/>
      <c r="J14" s="47"/>
      <c r="K14" s="47"/>
      <c r="L14" s="47"/>
      <c r="M14" s="47"/>
      <c r="N14" s="47"/>
      <c r="O14" s="47"/>
      <c r="P14" s="47"/>
      <c r="Q14" s="47"/>
      <c r="R14" s="47"/>
      <c r="S14" s="47"/>
      <c r="T14" s="47"/>
      <c r="U14" s="47"/>
      <c r="V14" s="47"/>
      <c r="W14" s="47"/>
      <c r="X14" s="47"/>
      <c r="Y14" s="48"/>
    </row>
    <row r="15" spans="3:30"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30"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19" t="str">
        <f>+IFERROR(IF(V16="","",(+IF(V16=0,0,IF(COUNT(V16,L16),ROUND(SUM(V16)/SUM(L16)*100,2),"")))),"")</f>
        <v/>
      </c>
      <c r="X16" s="57"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V13">
      <formula1>I13</formula1>
    </dataValidation>
    <dataValidation type="whole" operator="lessThanOrEqual" allowBlank="1" showInputMessage="1" showErrorMessage="1" sqref="X13:Y13">
      <formula1>L13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N13:O13 I13:K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A7" zoomScale="85" zoomScaleNormal="85" workbookViewId="0">
      <selection activeCell="E23" sqref="E23"/>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customWidth="1"/>
    <col min="22" max="22" width="8.140625" customWidth="1"/>
    <col min="23" max="23" width="15.42578125" customWidth="1"/>
    <col min="24" max="24" width="19.42578125" customWidth="1"/>
    <col min="25" max="25" width="4.42578125" customWidth="1"/>
    <col min="26" max="26" width="5.140625" customWidth="1"/>
    <col min="27" max="16383" width="7.5703125" hidden="1"/>
    <col min="16384" max="16384" width="3.85546875" hidden="1"/>
  </cols>
  <sheetData>
    <row r="1" spans="4:30" hidden="1">
      <c r="I1">
        <v>0</v>
      </c>
    </row>
    <row r="2" spans="4:30"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4:30" hidden="1"/>
    <row r="4" spans="4:30" hidden="1"/>
    <row r="5" spans="4:30" hidden="1"/>
    <row r="6" spans="4:30" hidden="1"/>
    <row r="9" spans="4:30" ht="29.45" customHeight="1">
      <c r="D9" s="464" t="s">
        <v>138</v>
      </c>
      <c r="E9" s="463" t="s">
        <v>137</v>
      </c>
      <c r="F9" s="463" t="s">
        <v>1</v>
      </c>
      <c r="G9" s="437" t="s">
        <v>961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14</v>
      </c>
      <c r="X9" s="437" t="s">
        <v>1053</v>
      </c>
    </row>
    <row r="10" spans="4:30" ht="31.5" customHeight="1">
      <c r="D10" s="465"/>
      <c r="E10" s="463"/>
      <c r="F10" s="463"/>
      <c r="G10" s="463"/>
      <c r="H10" s="463"/>
      <c r="I10" s="463"/>
      <c r="J10" s="463"/>
      <c r="K10" s="463"/>
      <c r="L10" s="463"/>
      <c r="M10" s="463" t="s">
        <v>15</v>
      </c>
      <c r="N10" s="463"/>
      <c r="O10" s="463"/>
      <c r="P10" s="463" t="s">
        <v>16</v>
      </c>
      <c r="Q10" s="463"/>
      <c r="R10" s="465"/>
      <c r="S10" s="465"/>
      <c r="T10" s="463"/>
      <c r="U10" s="463"/>
      <c r="V10" s="463"/>
      <c r="W10" s="463"/>
      <c r="X10" s="463"/>
    </row>
    <row r="11" spans="4:30" ht="75">
      <c r="D11" s="466"/>
      <c r="E11" s="463"/>
      <c r="F11" s="463"/>
      <c r="G11" s="463"/>
      <c r="H11" s="463"/>
      <c r="I11" s="463"/>
      <c r="J11" s="463"/>
      <c r="K11" s="463"/>
      <c r="L11" s="463"/>
      <c r="M11" s="62" t="s">
        <v>17</v>
      </c>
      <c r="N11" s="62" t="s">
        <v>18</v>
      </c>
      <c r="O11" s="62" t="s">
        <v>19</v>
      </c>
      <c r="P11" s="463"/>
      <c r="Q11" s="463"/>
      <c r="R11" s="466"/>
      <c r="S11" s="466"/>
      <c r="T11" s="463"/>
      <c r="U11" s="62" t="s">
        <v>20</v>
      </c>
      <c r="V11" s="62" t="s">
        <v>21</v>
      </c>
      <c r="W11" s="463"/>
      <c r="X11" s="463"/>
    </row>
    <row r="12" spans="4:30" ht="17.25" customHeight="1">
      <c r="D12" s="102" t="s">
        <v>926</v>
      </c>
      <c r="E12" s="86" t="s">
        <v>72</v>
      </c>
      <c r="F12" s="86"/>
      <c r="G12" s="33"/>
      <c r="H12" s="33"/>
      <c r="I12" s="33"/>
      <c r="J12" s="33"/>
      <c r="K12" s="33"/>
      <c r="L12" s="33"/>
      <c r="M12" s="33"/>
      <c r="N12" s="33"/>
      <c r="O12" s="33"/>
      <c r="P12" s="33"/>
      <c r="Q12" s="33"/>
      <c r="R12" s="33"/>
      <c r="S12" s="33"/>
      <c r="T12" s="33"/>
      <c r="U12" s="33"/>
      <c r="V12" s="33"/>
      <c r="W12" s="33"/>
      <c r="X12" s="34"/>
    </row>
    <row r="13" spans="4:30" s="11" customFormat="1" ht="13.5" hidden="1" customHeight="1">
      <c r="D13" s="221"/>
      <c r="E13" s="90"/>
      <c r="F13" s="10"/>
      <c r="G13" s="307">
        <v>1</v>
      </c>
      <c r="H13" s="16"/>
      <c r="I13" s="51"/>
      <c r="J13" s="51"/>
      <c r="K13" s="52" t="str">
        <f>+IFERROR(IF(COUNT(H13:J13),ROUND(SUM(H13:J13),0),""),"")</f>
        <v/>
      </c>
      <c r="L13" s="17" t="str">
        <f>+IFERROR(IF(COUNT(K13),ROUND(K13/'Shareholding Pattern'!$L$57*100,2),""),"")</f>
        <v/>
      </c>
      <c r="M13" s="308"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3" t="str">
        <f>+IFERROR(IF(U13="","",(IF(COUNT(U13,K13),ROUND(SUM(U13)/SUM(K13)*100,2),""))),"")</f>
        <v/>
      </c>
      <c r="W13" s="16"/>
      <c r="X13" s="315"/>
      <c r="AC13" s="11">
        <f>IF(SUM(H13:W13)&gt;0,1,0)</f>
        <v>0</v>
      </c>
      <c r="AD13" s="11">
        <f>SUM(AC15:AC65535)</f>
        <v>0</v>
      </c>
    </row>
    <row r="14" spans="4:30" ht="24.95" customHeight="1">
      <c r="D14" s="46"/>
      <c r="E14" s="47"/>
      <c r="F14" s="295" t="s">
        <v>1049</v>
      </c>
      <c r="G14" s="47"/>
      <c r="H14" s="47"/>
      <c r="I14" s="47"/>
      <c r="J14" s="47"/>
      <c r="K14" s="47"/>
      <c r="L14" s="47"/>
      <c r="M14" s="47"/>
      <c r="N14" s="47"/>
      <c r="O14" s="47"/>
      <c r="P14" s="47"/>
      <c r="Q14" s="47"/>
      <c r="R14" s="47"/>
      <c r="S14" s="47"/>
      <c r="T14" s="47"/>
      <c r="U14" s="47"/>
      <c r="V14" s="47"/>
      <c r="W14" s="47"/>
      <c r="X14" s="48"/>
    </row>
    <row r="15" spans="4:30" hidden="1">
      <c r="D15" s="230"/>
      <c r="E15" s="232"/>
      <c r="F15" s="232"/>
      <c r="G15" s="232"/>
      <c r="H15" s="231"/>
      <c r="I15" s="18"/>
      <c r="J15" s="228"/>
      <c r="K15" s="228"/>
      <c r="L15" s="18"/>
      <c r="M15" s="18"/>
      <c r="N15" s="228"/>
      <c r="O15" s="228"/>
      <c r="P15" s="18"/>
      <c r="Q15" s="18"/>
      <c r="R15" s="18"/>
      <c r="S15" s="18"/>
      <c r="T15" s="18"/>
      <c r="U15" s="18"/>
      <c r="V15" s="228"/>
      <c r="W15" s="229"/>
    </row>
    <row r="16" spans="4:30">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+IFERROR(IF(COUNT(U16,K16),ROUND(SUM(U16)/SUM(K16)*100,2),""),0)</f>
        <v/>
      </c>
      <c r="W16" s="57"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M13:N13 H13:J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31" t="s">
        <v>975</v>
      </c>
      <c r="F9" s="432"/>
      <c r="G9" s="432"/>
      <c r="H9" s="432"/>
      <c r="I9" s="433"/>
      <c r="J9" s="116"/>
    </row>
    <row r="10" spans="5:10">
      <c r="E10" s="464" t="s">
        <v>138</v>
      </c>
      <c r="F10" s="438" t="s">
        <v>145</v>
      </c>
      <c r="G10" s="438" t="s">
        <v>146</v>
      </c>
      <c r="H10" s="438" t="s">
        <v>886</v>
      </c>
      <c r="I10" s="438" t="s">
        <v>889</v>
      </c>
      <c r="J10" s="116"/>
    </row>
    <row r="11" spans="5:10">
      <c r="E11" s="501"/>
      <c r="F11" s="439"/>
      <c r="G11" s="465"/>
      <c r="H11" s="439"/>
      <c r="I11" s="439"/>
      <c r="J11" s="116"/>
    </row>
    <row r="12" spans="5:10">
      <c r="E12" s="502"/>
      <c r="F12" s="440"/>
      <c r="G12" s="466"/>
      <c r="H12" s="440"/>
      <c r="I12" s="440"/>
      <c r="J12" s="116"/>
    </row>
    <row r="13" spans="5:10" ht="28.5" hidden="1" customHeight="1">
      <c r="E13" s="221"/>
      <c r="F13" s="16"/>
      <c r="G13" s="88"/>
      <c r="H13" s="169"/>
      <c r="I13" s="99"/>
      <c r="J13" s="116"/>
    </row>
    <row r="14" spans="5:10" ht="25.5" customHeight="1">
      <c r="E14" s="49"/>
      <c r="F14" s="59"/>
      <c r="G14" s="59"/>
      <c r="H14" s="59"/>
      <c r="I14" s="291"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28"/>
  <sheetViews>
    <sheetView workbookViewId="0"/>
  </sheetViews>
  <sheetFormatPr defaultRowHeight="15"/>
  <sheetData>
    <row r="1" spans="2:5">
      <c r="B1" s="97"/>
      <c r="E1">
        <v>8</v>
      </c>
    </row>
    <row r="2" spans="2:5">
      <c r="B2" s="97"/>
    </row>
    <row r="3" spans="2:5">
      <c r="B3" s="97" t="s">
        <v>1108</v>
      </c>
    </row>
    <row r="4" spans="2:5">
      <c r="B4" s="97" t="s">
        <v>1108</v>
      </c>
    </row>
    <row r="5" spans="2:5">
      <c r="B5" s="97" t="s">
        <v>1108</v>
      </c>
    </row>
    <row r="6" spans="2:5">
      <c r="B6" s="97" t="s">
        <v>1108</v>
      </c>
    </row>
    <row r="7" spans="2:5">
      <c r="B7" s="97" t="s">
        <v>1108</v>
      </c>
    </row>
    <row r="8" spans="2:5">
      <c r="B8" s="97" t="s">
        <v>1108</v>
      </c>
    </row>
    <row r="9" spans="2:5">
      <c r="B9" s="97"/>
    </row>
    <row r="10" spans="2:5">
      <c r="B10" s="97"/>
    </row>
    <row r="11" spans="2:5">
      <c r="B11" s="97"/>
    </row>
    <row r="12" spans="2:5">
      <c r="B12" s="97"/>
    </row>
    <row r="13" spans="2:5">
      <c r="B13" s="97"/>
    </row>
    <row r="14" spans="2:5">
      <c r="B14" s="97"/>
    </row>
    <row r="15" spans="2:5">
      <c r="B15" s="97"/>
    </row>
    <row r="16" spans="2:5">
      <c r="B16" s="97"/>
    </row>
    <row r="17" spans="2:2">
      <c r="B17" s="97"/>
    </row>
    <row r="18" spans="2:2">
      <c r="B18" s="97"/>
    </row>
    <row r="19" spans="2:2">
      <c r="B19" s="97"/>
    </row>
    <row r="20" spans="2:2">
      <c r="B20" s="97"/>
    </row>
    <row r="21" spans="2:2">
      <c r="B21" s="97"/>
    </row>
    <row r="22" spans="2:2">
      <c r="B22" s="97"/>
    </row>
    <row r="23" spans="2:2">
      <c r="B23" s="97"/>
    </row>
    <row r="24" spans="2:2">
      <c r="B24" s="97"/>
    </row>
    <row r="25" spans="2:2">
      <c r="B25" s="97"/>
    </row>
    <row r="26" spans="2:2">
      <c r="B26" s="97"/>
    </row>
    <row r="27" spans="2:2">
      <c r="B27" s="97"/>
    </row>
    <row r="28" spans="2:2">
      <c r="B28" s="9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31" t="s">
        <v>963</v>
      </c>
      <c r="F9" s="432"/>
      <c r="G9" s="432"/>
      <c r="H9" s="433"/>
    </row>
    <row r="10" spans="5:9">
      <c r="E10" s="464" t="s">
        <v>138</v>
      </c>
      <c r="F10" s="438" t="s">
        <v>147</v>
      </c>
      <c r="G10" s="438" t="s">
        <v>148</v>
      </c>
      <c r="H10" s="438" t="s">
        <v>149</v>
      </c>
    </row>
    <row r="11" spans="5:9">
      <c r="E11" s="503"/>
      <c r="F11" s="439"/>
      <c r="G11" s="465"/>
      <c r="H11" s="439"/>
    </row>
    <row r="12" spans="5:9">
      <c r="E12" s="504"/>
      <c r="F12" s="440"/>
      <c r="G12" s="466"/>
      <c r="H12" s="440"/>
    </row>
    <row r="13" spans="5:9" hidden="1">
      <c r="E13" s="221"/>
      <c r="F13" s="88"/>
      <c r="G13" s="114"/>
      <c r="H13" s="115"/>
    </row>
    <row r="14" spans="5:9" ht="24.75" customHeight="1">
      <c r="E14" s="12"/>
      <c r="F14" s="59"/>
      <c r="G14" s="59"/>
      <c r="H14" s="291"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abSelected="1"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31" t="s">
        <v>964</v>
      </c>
      <c r="F9" s="432"/>
      <c r="G9" s="432"/>
      <c r="H9" s="432"/>
      <c r="I9" s="119"/>
    </row>
    <row r="10" spans="5:9">
      <c r="E10" s="464" t="s">
        <v>138</v>
      </c>
      <c r="F10" s="438" t="s">
        <v>145</v>
      </c>
      <c r="G10" s="438" t="s">
        <v>146</v>
      </c>
      <c r="H10" s="438" t="s">
        <v>150</v>
      </c>
      <c r="I10" s="505" t="s">
        <v>918</v>
      </c>
    </row>
    <row r="11" spans="5:9">
      <c r="E11" s="503"/>
      <c r="F11" s="439"/>
      <c r="G11" s="465"/>
      <c r="H11" s="439"/>
      <c r="I11" s="506"/>
    </row>
    <row r="12" spans="5:9">
      <c r="E12" s="504"/>
      <c r="F12" s="440"/>
      <c r="G12" s="466"/>
      <c r="H12" s="440"/>
      <c r="I12" s="507"/>
    </row>
    <row r="13" spans="5:9" hidden="1">
      <c r="E13" s="221"/>
      <c r="F13" s="16"/>
      <c r="G13" s="114"/>
      <c r="H13" s="114"/>
      <c r="I13" s="120"/>
    </row>
    <row r="14" spans="5:9" ht="24.75" customHeight="1">
      <c r="E14" s="12"/>
      <c r="F14" s="59"/>
      <c r="G14" s="59"/>
      <c r="H14" s="59"/>
      <c r="I14" s="291"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O6" zoomScale="90" zoomScaleNormal="90" workbookViewId="0">
      <selection activeCell="Y18" sqref="Y18"/>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431" t="s">
        <v>165</v>
      </c>
      <c r="F8" s="432"/>
      <c r="G8" s="432"/>
      <c r="H8" s="432"/>
      <c r="I8" s="432"/>
      <c r="J8" s="432"/>
      <c r="K8" s="432"/>
      <c r="L8" s="432"/>
      <c r="M8" s="432"/>
      <c r="N8" s="432"/>
      <c r="O8" s="432"/>
      <c r="P8" s="432"/>
      <c r="Q8" s="432"/>
      <c r="R8" s="432"/>
      <c r="S8" s="432"/>
      <c r="T8" s="432"/>
      <c r="U8" s="432"/>
      <c r="V8" s="432"/>
      <c r="W8" s="432"/>
      <c r="X8" s="432"/>
      <c r="Y8" s="433"/>
    </row>
    <row r="9" spans="5:25" ht="22.5" customHeight="1">
      <c r="E9" s="441" t="s">
        <v>974</v>
      </c>
      <c r="F9" s="442"/>
      <c r="G9" s="442"/>
      <c r="H9" s="442"/>
      <c r="I9" s="442"/>
      <c r="J9" s="442"/>
      <c r="K9" s="442"/>
      <c r="L9" s="442"/>
      <c r="M9" s="442"/>
      <c r="N9" s="442"/>
      <c r="O9" s="442"/>
      <c r="P9" s="442"/>
      <c r="Q9" s="442"/>
      <c r="R9" s="442"/>
      <c r="S9" s="442"/>
      <c r="T9" s="442"/>
      <c r="U9" s="442"/>
      <c r="V9" s="442"/>
      <c r="W9" s="442"/>
      <c r="X9" s="442"/>
      <c r="Y9" s="443"/>
    </row>
    <row r="10" spans="5:25" ht="27" customHeight="1">
      <c r="E10" s="437" t="s">
        <v>151</v>
      </c>
      <c r="F10" s="437" t="s">
        <v>152</v>
      </c>
      <c r="G10" s="437" t="s">
        <v>2</v>
      </c>
      <c r="H10" s="437" t="s">
        <v>3</v>
      </c>
      <c r="I10" s="437" t="s">
        <v>4</v>
      </c>
      <c r="J10" s="437" t="s">
        <v>5</v>
      </c>
      <c r="K10" s="437" t="s">
        <v>6</v>
      </c>
      <c r="L10" s="437" t="s">
        <v>7</v>
      </c>
      <c r="M10" s="434" t="s">
        <v>153</v>
      </c>
      <c r="N10" s="435"/>
      <c r="O10" s="435"/>
      <c r="P10" s="436"/>
      <c r="Q10" s="437" t="s">
        <v>9</v>
      </c>
      <c r="R10" s="438" t="s">
        <v>1064</v>
      </c>
      <c r="S10" s="437" t="s">
        <v>135</v>
      </c>
      <c r="T10" s="437" t="s">
        <v>11</v>
      </c>
      <c r="U10" s="444" t="s">
        <v>12</v>
      </c>
      <c r="V10" s="445"/>
      <c r="W10" s="444" t="s">
        <v>13</v>
      </c>
      <c r="X10" s="445"/>
      <c r="Y10" s="437" t="s">
        <v>14</v>
      </c>
    </row>
    <row r="11" spans="5:25" ht="24" customHeight="1">
      <c r="E11" s="437"/>
      <c r="F11" s="437"/>
      <c r="G11" s="437"/>
      <c r="H11" s="437"/>
      <c r="I11" s="437"/>
      <c r="J11" s="437"/>
      <c r="K11" s="437"/>
      <c r="L11" s="437"/>
      <c r="M11" s="434" t="s">
        <v>920</v>
      </c>
      <c r="N11" s="435"/>
      <c r="O11" s="436"/>
      <c r="P11" s="437" t="s">
        <v>154</v>
      </c>
      <c r="Q11" s="437"/>
      <c r="R11" s="439"/>
      <c r="S11" s="437"/>
      <c r="T11" s="437"/>
      <c r="U11" s="444"/>
      <c r="V11" s="445"/>
      <c r="W11" s="444"/>
      <c r="X11" s="445"/>
      <c r="Y11" s="437"/>
    </row>
    <row r="12" spans="5:25" ht="79.5" customHeight="1">
      <c r="E12" s="437"/>
      <c r="F12" s="437"/>
      <c r="G12" s="437"/>
      <c r="H12" s="437"/>
      <c r="I12" s="437"/>
      <c r="J12" s="437"/>
      <c r="K12" s="437"/>
      <c r="L12" s="437"/>
      <c r="M12" s="78" t="s">
        <v>17</v>
      </c>
      <c r="N12" s="78" t="s">
        <v>18</v>
      </c>
      <c r="O12" s="78" t="s">
        <v>19</v>
      </c>
      <c r="P12" s="437"/>
      <c r="Q12" s="437"/>
      <c r="R12" s="440"/>
      <c r="S12" s="437"/>
      <c r="T12" s="437"/>
      <c r="U12" s="78" t="s">
        <v>20</v>
      </c>
      <c r="V12" s="78" t="s">
        <v>21</v>
      </c>
      <c r="W12" s="78" t="s">
        <v>20</v>
      </c>
      <c r="X12" s="78" t="s">
        <v>21</v>
      </c>
      <c r="Y12" s="437"/>
    </row>
    <row r="13" spans="5:25" ht="20.100000000000001" customHeight="1">
      <c r="E13" s="79" t="s">
        <v>155</v>
      </c>
      <c r="F13" s="60" t="s">
        <v>156</v>
      </c>
      <c r="G13" s="91">
        <f>+IFERROR(IF(COUNT('Shareholding Pattern'!H26),('Shareholding Pattern'!H26),""),"")</f>
        <v>6</v>
      </c>
      <c r="H13" s="91">
        <f>+IFERROR(IF(COUNT('Shareholding Pattern'!I26),('Shareholding Pattern'!I26),""),"")</f>
        <v>1036200</v>
      </c>
      <c r="I13" s="91" t="str">
        <f>+IFERROR(IF(COUNT('Shareholding Pattern'!J26),('Shareholding Pattern'!J26),""),"")</f>
        <v/>
      </c>
      <c r="J13" s="91" t="str">
        <f>+IFERROR(IF(COUNT('Shareholding Pattern'!K26),('Shareholding Pattern'!K26),""),"")</f>
        <v/>
      </c>
      <c r="K13" s="91">
        <f>+IFERROR(IF(COUNT('Shareholding Pattern'!L26),('Shareholding Pattern'!L26),""),"")</f>
        <v>1036200</v>
      </c>
      <c r="L13" s="215">
        <f>+IFERROR(IF(COUNT('Shareholding Pattern'!M26),('Shareholding Pattern'!M26),""),"")</f>
        <v>16</v>
      </c>
      <c r="M13" s="92">
        <f>+IFERROR(IF(COUNT('Shareholding Pattern'!N26),('Shareholding Pattern'!N26),""),"")</f>
        <v>1036200</v>
      </c>
      <c r="N13" s="92" t="str">
        <f>+IFERROR(IF(COUNT('Shareholding Pattern'!O26),('Shareholding Pattern'!O26),""),"")</f>
        <v/>
      </c>
      <c r="O13" s="92">
        <f>+IFERROR(IF(COUNT('Shareholding Pattern'!P26),('Shareholding Pattern'!P26),""),"")</f>
        <v>1036200</v>
      </c>
      <c r="P13" s="215">
        <f>+IFERROR(IF(COUNT('Shareholding Pattern'!Q26),('Shareholding Pattern'!Q26),""),"")</f>
        <v>16</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16</v>
      </c>
      <c r="U13" s="91">
        <f>+IFERROR(IF(COUNT('Shareholding Pattern'!V26),('Shareholding Pattern'!V26),""),"")</f>
        <v>1036200</v>
      </c>
      <c r="V13" s="215">
        <f>+IFERROR(IF(COUNT('Shareholding Pattern'!W26),('Shareholding Pattern'!W26),""),"")</f>
        <v>100</v>
      </c>
      <c r="W13" s="91" t="str">
        <f>+IFERROR(IF(COUNT('Shareholding Pattern'!X26),('Shareholding Pattern'!X26),""),"")</f>
        <v/>
      </c>
      <c r="X13" s="215" t="str">
        <f>+IFERROR(IF(COUNT('Shareholding Pattern'!Y26),('Shareholding Pattern'!Y26),""),"")</f>
        <v/>
      </c>
      <c r="Y13" s="91">
        <f>+IFERROR(IF(COUNT('Shareholding Pattern'!Z26),('Shareholding Pattern'!Z26),""),"")</f>
        <v>1036200</v>
      </c>
    </row>
    <row r="14" spans="5:25" ht="20.100000000000001" customHeight="1">
      <c r="E14" s="79" t="s">
        <v>157</v>
      </c>
      <c r="F14" s="58" t="s">
        <v>158</v>
      </c>
      <c r="G14" s="91">
        <f>+IFERROR(IF(COUNT('Shareholding Pattern'!H50),('Shareholding Pattern'!H50),""),"")</f>
        <v>514</v>
      </c>
      <c r="H14" s="91">
        <f>+IFERROR(IF(COUNT('Shareholding Pattern'!I50),('Shareholding Pattern'!I50),""),"")</f>
        <v>5438400</v>
      </c>
      <c r="I14" s="91" t="str">
        <f>+IFERROR(IF(COUNT('Shareholding Pattern'!J50),('Shareholding Pattern'!J50),""),"")</f>
        <v/>
      </c>
      <c r="J14" s="91" t="str">
        <f>+IFERROR(IF(COUNT('Shareholding Pattern'!K50),('Shareholding Pattern'!K50),""),"")</f>
        <v/>
      </c>
      <c r="K14" s="91">
        <f>+IFERROR(IF(COUNT('Shareholding Pattern'!L50),('Shareholding Pattern'!L50),""),"")</f>
        <v>5438400</v>
      </c>
      <c r="L14" s="215">
        <f>+IFERROR(IF(COUNT('Shareholding Pattern'!M50),('Shareholding Pattern'!M50),""),"")</f>
        <v>84</v>
      </c>
      <c r="M14" s="321">
        <f>+IFERROR(IF(COUNT('Shareholding Pattern'!N50),('Shareholding Pattern'!N50),""),"")</f>
        <v>5438400</v>
      </c>
      <c r="N14" s="92" t="str">
        <f>+IFERROR(IF(COUNT('Shareholding Pattern'!O50),('Shareholding Pattern'!O50),""),"")</f>
        <v/>
      </c>
      <c r="O14" s="92">
        <f>+IFERROR(IF(COUNT('Shareholding Pattern'!P50),('Shareholding Pattern'!P50),""),"")</f>
        <v>5438400</v>
      </c>
      <c r="P14" s="215">
        <f>+IFERROR(IF(COUNT('Shareholding Pattern'!Q50),('Shareholding Pattern'!Q50),""),"")</f>
        <v>84</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84</v>
      </c>
      <c r="U14" s="91">
        <f>+IFERROR(IF(COUNT('Shareholding Pattern'!V50),('Shareholding Pattern'!V50),""),"")</f>
        <v>0</v>
      </c>
      <c r="V14" s="215">
        <f>+IFERROR(IF(COUNT('Shareholding Pattern'!W50),('Shareholding Pattern'!W50),""),"")</f>
        <v>0</v>
      </c>
      <c r="W14" s="357"/>
      <c r="X14" s="358"/>
      <c r="Y14" s="91">
        <f>+IFERROR(IF(COUNT('Shareholding Pattern'!Z50),('Shareholding Pattern'!Z50),""),"")</f>
        <v>3166100</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355"/>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355"/>
      <c r="U15" s="91" t="str">
        <f>+IFERROR(IF(COUNT('Shareholding Pattern'!V56),('Shareholding Pattern'!V56),""),"")</f>
        <v/>
      </c>
      <c r="V15" s="215" t="str">
        <f>+IFERROR(IF(COUNT('Shareholding Pattern'!W56),('Shareholding Pattern'!W56),""),"")</f>
        <v/>
      </c>
      <c r="W15" s="359"/>
      <c r="X15" s="360"/>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356"/>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356"/>
      <c r="U16" s="91" t="str">
        <f>+IFERROR(IF(COUNT('Shareholding Pattern'!V54),('Shareholding Pattern'!V54),""),"")</f>
        <v/>
      </c>
      <c r="V16" s="215" t="str">
        <f>+IFERROR(IF(COUNT('Shareholding Pattern'!W54),('Shareholding Pattern'!W54),""),"")</f>
        <v/>
      </c>
      <c r="W16" s="359"/>
      <c r="X16" s="360"/>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361"/>
      <c r="X17" s="362"/>
      <c r="Y17" s="91" t="str">
        <f>+IFERROR(IF(COUNT('Shareholding Pattern'!Z55),('Shareholding Pattern'!Z55),""),"")</f>
        <v/>
      </c>
    </row>
    <row r="18" spans="5:25" ht="18.75">
      <c r="E18" s="61"/>
      <c r="F18" s="82" t="s">
        <v>19</v>
      </c>
      <c r="G18" s="93">
        <f>+IFERROR(IF(COUNT('Shareholding Pattern'!H58),('Shareholding Pattern'!H58),""),"")</f>
        <v>520</v>
      </c>
      <c r="H18" s="93">
        <f>+IFERROR(IF(COUNT('Shareholding Pattern'!I58),('Shareholding Pattern'!I58),""),"")</f>
        <v>6474600</v>
      </c>
      <c r="I18" s="93" t="str">
        <f>+IFERROR(IF(COUNT('Shareholding Pattern'!J58),('Shareholding Pattern'!J58),""),"")</f>
        <v/>
      </c>
      <c r="J18" s="93" t="str">
        <f>+IFERROR(IF(COUNT('Shareholding Pattern'!K58),('Shareholding Pattern'!K58),""),"")</f>
        <v/>
      </c>
      <c r="K18" s="93">
        <f>+IFERROR(IF(COUNT('Shareholding Pattern'!L58),('Shareholding Pattern'!L58),""),"")</f>
        <v>6474600</v>
      </c>
      <c r="L18" s="328">
        <f>+IFERROR(IF(COUNT('Shareholding Pattern'!M58),('Shareholding Pattern'!M58),""),"")</f>
        <v>100</v>
      </c>
      <c r="M18" s="320">
        <f>+IFERROR(IF(COUNT('Shareholding Pattern'!N58),('Shareholding Pattern'!N58),""),"")</f>
        <v>6474600</v>
      </c>
      <c r="N18" s="320" t="str">
        <f>+IFERROR(IF(COUNT('Shareholding Pattern'!O58),('Shareholding Pattern'!O58),""),"")</f>
        <v/>
      </c>
      <c r="O18" s="320">
        <f>+IFERROR(IF(COUNT('Shareholding Pattern'!P58),('Shareholding Pattern'!P58),""),"")</f>
        <v>6474600</v>
      </c>
      <c r="P18" s="320">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328">
        <f>+IFERROR(IF(COUNT('Shareholding Pattern'!U58),('Shareholding Pattern'!U58),""),"")</f>
        <v>100</v>
      </c>
      <c r="U18" s="93">
        <f>+IFERROR(IF(COUNT('Shareholding Pattern'!V58),('Shareholding Pattern'!V58),""),"")</f>
        <v>1036200</v>
      </c>
      <c r="V18" s="320">
        <f>+IFERROR(IF(COUNT('Shareholding Pattern'!W58),('Shareholding Pattern'!W58),""),"")</f>
        <v>16</v>
      </c>
      <c r="W18" s="93" t="str">
        <f>+IFERROR(IF(COUNT('Shareholding Pattern'!X58),('Shareholding Pattern'!X58),""),"")</f>
        <v/>
      </c>
      <c r="X18" s="320" t="str">
        <f>+IFERROR(IF(COUNT('Shareholding Pattern'!Y58),('Shareholding Pattern'!Y58),""),"")</f>
        <v/>
      </c>
      <c r="Y18" s="93">
        <f>+IFERROR(IF(COUNT('Shareholding Pattern'!Z58),('Shareholding Pattern'!Z58),""),"")</f>
        <v>4202300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XFD702"/>
  <sheetViews>
    <sheetView topLeftCell="B1" workbookViewId="0">
      <selection activeCell="B1" sqref="B1"/>
    </sheetView>
  </sheetViews>
  <sheetFormatPr defaultRowHeight="15"/>
  <cols>
    <col min="1" max="1" width="0" hidden="1" customWidth="1"/>
    <col min="2" max="2" width="46.42578125" customWidth="1"/>
    <col min="3" max="3" width="75.7109375" customWidth="1"/>
    <col min="4" max="9" width="9.140625" hidden="1" customWidth="1"/>
    <col min="10" max="10" width="47.42578125" customWidth="1"/>
    <col min="11" max="13" width="9.140625" hidden="1" customWidth="1"/>
    <col min="14" max="15" width="9.140625" customWidth="1"/>
    <col min="16" max="25" width="9.140625" hidden="1"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1055</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1063</v>
      </c>
      <c r="C9" t="s">
        <v>1063</v>
      </c>
      <c r="J9" t="s">
        <v>298</v>
      </c>
      <c r="N9" t="s">
        <v>299</v>
      </c>
      <c r="O9" t="s">
        <v>287</v>
      </c>
    </row>
    <row r="10" spans="1:26">
      <c r="B10" s="314" t="s">
        <v>302</v>
      </c>
      <c r="C10" s="314" t="s">
        <v>303</v>
      </c>
      <c r="D10" s="314"/>
      <c r="E10" s="314">
        <v>8</v>
      </c>
      <c r="F10" s="314" t="s">
        <v>304</v>
      </c>
      <c r="G10" s="314" t="s">
        <v>276</v>
      </c>
      <c r="H10" s="314" t="s">
        <v>302</v>
      </c>
      <c r="I10" s="314" t="s">
        <v>279</v>
      </c>
      <c r="J10" s="314" t="s">
        <v>952</v>
      </c>
      <c r="K10" s="314">
        <v>0</v>
      </c>
      <c r="L10" s="314" t="s">
        <v>281</v>
      </c>
      <c r="M10" s="314">
        <v>0</v>
      </c>
      <c r="N10" s="314" t="s">
        <v>282</v>
      </c>
      <c r="O10" s="314" t="s">
        <v>287</v>
      </c>
      <c r="P10" s="314" t="s">
        <v>283</v>
      </c>
      <c r="Q10" s="314"/>
      <c r="R10" s="314"/>
      <c r="S10" s="314"/>
      <c r="T10" s="314"/>
      <c r="U10" s="314"/>
      <c r="V10" s="314"/>
      <c r="W10" s="314"/>
      <c r="X10" s="314"/>
      <c r="Y10" s="314"/>
      <c r="Z10" s="314"/>
    </row>
    <row r="11" spans="1:26">
      <c r="A11" t="s">
        <v>275</v>
      </c>
      <c r="B11" t="s">
        <v>1061</v>
      </c>
      <c r="C11" t="s">
        <v>1054</v>
      </c>
      <c r="J11" t="s">
        <v>308</v>
      </c>
      <c r="N11" t="s">
        <v>299</v>
      </c>
      <c r="Z11" t="s">
        <v>1062</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1005</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13" t="s">
        <v>507</v>
      </c>
      <c r="C133" s="314" t="s">
        <v>508</v>
      </c>
      <c r="D133" s="314"/>
      <c r="E133" s="314">
        <v>2</v>
      </c>
      <c r="F133" s="314" t="s">
        <v>509</v>
      </c>
      <c r="G133" s="314" t="s">
        <v>497</v>
      </c>
      <c r="H133" s="314" t="s">
        <v>507</v>
      </c>
      <c r="I133" s="314" t="s">
        <v>500</v>
      </c>
      <c r="J133" s="314" t="s">
        <v>280</v>
      </c>
      <c r="K133" s="314">
        <v>0</v>
      </c>
      <c r="L133" s="314" t="s">
        <v>281</v>
      </c>
      <c r="M133" s="314">
        <v>0</v>
      </c>
      <c r="N133" s="314" t="s">
        <v>282</v>
      </c>
      <c r="O133" s="314" t="s">
        <v>283</v>
      </c>
      <c r="P133" s="314" t="s">
        <v>283</v>
      </c>
      <c r="Q133" s="314"/>
      <c r="R133" s="314"/>
      <c r="S133" s="314"/>
      <c r="T133" s="314"/>
      <c r="U133" s="314"/>
      <c r="V133" s="314"/>
      <c r="W133" s="314"/>
      <c r="X133" s="314"/>
    </row>
    <row r="134" spans="1:26">
      <c r="A134" t="s">
        <v>275</v>
      </c>
      <c r="B134" t="s">
        <v>1058</v>
      </c>
      <c r="C134" t="s">
        <v>1053</v>
      </c>
      <c r="J134" t="s">
        <v>1005</v>
      </c>
      <c r="N134" t="s">
        <v>299</v>
      </c>
      <c r="Z134" t="s">
        <v>1059</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1005</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1005</v>
      </c>
      <c r="K701">
        <v>0</v>
      </c>
      <c r="L701" t="s">
        <v>281</v>
      </c>
      <c r="M701">
        <v>0</v>
      </c>
      <c r="N701" t="s">
        <v>299</v>
      </c>
      <c r="O701" t="s">
        <v>287</v>
      </c>
      <c r="P701" t="s">
        <v>283</v>
      </c>
    </row>
    <row r="702" spans="1:16">
      <c r="B702" t="s">
        <v>978</v>
      </c>
      <c r="C702" t="s">
        <v>977</v>
      </c>
      <c r="J702" t="s">
        <v>280</v>
      </c>
      <c r="N702" t="s">
        <v>282</v>
      </c>
    </row>
  </sheetData>
  <sheetProtection sheet="1" objects="1" scenarios="1"/>
  <autoFilter ref="A1:Y70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0"/>
  <sheetViews>
    <sheetView showGridLines="0" topLeftCell="A7" zoomScale="90" zoomScaleNormal="90" workbookViewId="0">
      <pane xSplit="5" ySplit="5" topLeftCell="F42" activePane="bottomRight" state="frozenSplit"/>
      <selection activeCell="A7" sqref="A7"/>
      <selection pane="topRight" activeCell="A7" sqref="A7"/>
      <selection pane="bottomLeft" activeCell="A7" sqref="A7"/>
      <selection pane="bottomRight" activeCell="F44" sqref="F44"/>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customWidth="1"/>
    <col min="23" max="23" width="12.28515625" style="80" customWidth="1"/>
    <col min="24" max="24" width="16.7109375" style="165" hidden="1" customWidth="1"/>
    <col min="25" max="25" width="15.42578125" style="80" hidden="1" customWidth="1"/>
    <col min="26" max="26" width="16.7109375" customWidth="1"/>
    <col min="27" max="27" width="12.5703125" customWidth="1"/>
    <col min="28" max="16383" width="3.42578125" hidden="1"/>
    <col min="16384" max="16384" width="3" hidden="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90" t="s">
        <v>134</v>
      </c>
      <c r="F9" s="475" t="s">
        <v>0</v>
      </c>
      <c r="G9" s="476"/>
      <c r="H9" s="463" t="s">
        <v>2</v>
      </c>
      <c r="I9" s="463" t="s">
        <v>3</v>
      </c>
      <c r="J9" s="463" t="s">
        <v>4</v>
      </c>
      <c r="K9" s="463" t="s">
        <v>5</v>
      </c>
      <c r="L9" s="463" t="s">
        <v>6</v>
      </c>
      <c r="M9" s="484" t="s">
        <v>7</v>
      </c>
      <c r="N9" s="481" t="s">
        <v>8</v>
      </c>
      <c r="O9" s="482"/>
      <c r="P9" s="482"/>
      <c r="Q9" s="483"/>
      <c r="R9" s="463" t="s">
        <v>9</v>
      </c>
      <c r="S9" s="464" t="s">
        <v>1064</v>
      </c>
      <c r="T9" s="437" t="s">
        <v>135</v>
      </c>
      <c r="U9" s="485" t="s">
        <v>11</v>
      </c>
      <c r="V9" s="463" t="s">
        <v>12</v>
      </c>
      <c r="W9" s="463"/>
      <c r="X9" s="463" t="s">
        <v>13</v>
      </c>
      <c r="Y9" s="463"/>
      <c r="Z9" s="463" t="s">
        <v>14</v>
      </c>
    </row>
    <row r="10" spans="5:58" ht="28.5" customHeight="1">
      <c r="E10" s="491"/>
      <c r="F10" s="477"/>
      <c r="G10" s="478"/>
      <c r="H10" s="463"/>
      <c r="I10" s="463"/>
      <c r="J10" s="463"/>
      <c r="K10" s="463"/>
      <c r="L10" s="463"/>
      <c r="M10" s="484"/>
      <c r="N10" s="481" t="s">
        <v>15</v>
      </c>
      <c r="O10" s="482"/>
      <c r="P10" s="483"/>
      <c r="Q10" s="484" t="s">
        <v>16</v>
      </c>
      <c r="R10" s="463"/>
      <c r="S10" s="465"/>
      <c r="T10" s="463"/>
      <c r="U10" s="485"/>
      <c r="V10" s="463"/>
      <c r="W10" s="463"/>
      <c r="X10" s="463"/>
      <c r="Y10" s="463"/>
      <c r="Z10" s="463"/>
    </row>
    <row r="11" spans="5:58" ht="113.25" customHeight="1">
      <c r="E11" s="492"/>
      <c r="F11" s="479"/>
      <c r="G11" s="480"/>
      <c r="H11" s="463"/>
      <c r="I11" s="463"/>
      <c r="J11" s="463"/>
      <c r="K11" s="463"/>
      <c r="L11" s="463"/>
      <c r="M11" s="484"/>
      <c r="N11" s="161" t="s">
        <v>17</v>
      </c>
      <c r="O11" s="161" t="s">
        <v>18</v>
      </c>
      <c r="P11" s="35" t="s">
        <v>19</v>
      </c>
      <c r="Q11" s="484"/>
      <c r="R11" s="463"/>
      <c r="S11" s="466"/>
      <c r="T11" s="463"/>
      <c r="U11" s="485"/>
      <c r="V11" s="161" t="s">
        <v>20</v>
      </c>
      <c r="W11" s="81" t="s">
        <v>21</v>
      </c>
      <c r="X11" s="166" t="s">
        <v>20</v>
      </c>
      <c r="Y11" s="81" t="s">
        <v>21</v>
      </c>
      <c r="Z11" s="463"/>
    </row>
    <row r="12" spans="5:58" ht="18.75" customHeight="1">
      <c r="E12" s="140" t="s">
        <v>22</v>
      </c>
      <c r="F12" s="489" t="s">
        <v>23</v>
      </c>
      <c r="G12" s="489"/>
      <c r="H12" s="489"/>
      <c r="I12" s="489"/>
      <c r="J12" s="489"/>
      <c r="K12" s="489"/>
      <c r="L12" s="489"/>
      <c r="M12" s="489"/>
      <c r="N12" s="489"/>
      <c r="O12" s="489"/>
      <c r="P12" s="489"/>
      <c r="Q12" s="489"/>
      <c r="R12" s="489"/>
      <c r="S12" s="489"/>
      <c r="T12" s="489"/>
      <c r="U12" s="489"/>
      <c r="V12" s="489"/>
      <c r="W12" s="489"/>
      <c r="X12" s="489"/>
      <c r="Y12" s="489"/>
      <c r="Z12" s="140"/>
    </row>
    <row r="13" spans="5:58" ht="20.100000000000001" customHeight="1">
      <c r="E13" s="141" t="s">
        <v>24</v>
      </c>
      <c r="F13" s="269"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0" t="s">
        <v>27</v>
      </c>
      <c r="G14" s="267"/>
      <c r="H14" s="135">
        <v>6</v>
      </c>
      <c r="I14" s="154">
        <v>1036200</v>
      </c>
      <c r="J14" s="154" t="str">
        <f>+IF(COUNT(IndHUF!I22),IndHUF!I22,"")</f>
        <v/>
      </c>
      <c r="K14" s="154" t="str">
        <f>+IF(COUNT(IndHUF!J22),IndHUF!J22,"")</f>
        <v/>
      </c>
      <c r="L14" s="154">
        <v>1036200</v>
      </c>
      <c r="M14" s="199">
        <f>+IFERROR(IF(COUNT(L14),ROUND(L14/'Shareholding Pattern'!$L$57*100,2),""),"")</f>
        <v>16</v>
      </c>
      <c r="N14" s="216">
        <v>1036200</v>
      </c>
      <c r="O14" s="216" t="str">
        <f>+IF(COUNT(+IndHUF!N22),SUM(+IndHUF!N22),"")</f>
        <v/>
      </c>
      <c r="P14" s="154">
        <v>1036200</v>
      </c>
      <c r="Q14" s="199">
        <f>+IF(COUNT(IndHUF!P22),IndHUF!P22,"")</f>
        <v>16</v>
      </c>
      <c r="R14" s="154" t="str">
        <f>+IF(COUNT(IndHUF!Q22),IndHUF!Q22,"")</f>
        <v/>
      </c>
      <c r="S14" s="154" t="str">
        <f>+IF(COUNT(IndHUF!R22),IndHUF!R22,"")</f>
        <v/>
      </c>
      <c r="T14" s="154" t="str">
        <f>+IF(COUNT(IndHUF!S22),IndHUF!S22,"")</f>
        <v/>
      </c>
      <c r="U14" s="155">
        <f>+IFERROR(IF(COUNT(L14,T14),ROUND(SUM(L14,T14)/SUM('Shareholding Pattern'!$L$57,'Shareholding Pattern'!$T$57)*100,2),""),"")</f>
        <v>16</v>
      </c>
      <c r="V14" s="237">
        <v>1036200</v>
      </c>
      <c r="W14" s="212">
        <f>+IFERROR(IF(COUNT(V14),ROUND(SUM(V14)/SUM(L14)*100,2),""),0)</f>
        <v>100</v>
      </c>
      <c r="X14" s="237" t="str">
        <f>+IF(COUNT(IndHUF!W22),IndHUF!W22,"")</f>
        <v/>
      </c>
      <c r="Y14" s="155" t="str">
        <f>+IFERROR(IF(COUNT(X14),ROUND(SUM(X14)/SUM(L14)*100,2),""),0)</f>
        <v/>
      </c>
      <c r="Z14" s="154">
        <v>1036200</v>
      </c>
      <c r="AA14" s="116"/>
      <c r="AR14" t="s">
        <v>185</v>
      </c>
      <c r="AX14" t="s">
        <v>220</v>
      </c>
      <c r="AZ14" t="s">
        <v>921</v>
      </c>
      <c r="BF14" t="s">
        <v>486</v>
      </c>
    </row>
    <row r="15" spans="5:58" ht="20.100000000000001" customHeight="1">
      <c r="E15" s="130" t="s">
        <v>28</v>
      </c>
      <c r="F15" s="271" t="s">
        <v>29</v>
      </c>
      <c r="G15" s="267"/>
      <c r="H15" s="135" t="str">
        <f>IFERROR(IF(COUNT(CGAndSG!$AD$13),IF(CGAndSG!$AD$13=0,"",CGAndSG!$AD$13),""),"")</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f>
        <v/>
      </c>
      <c r="N15" s="322" t="str">
        <f>IFERROR(IF(COUNT(CGAndSG!M16),(CGAndSG!M16),""),"")</f>
        <v/>
      </c>
      <c r="O15" s="216" t="str">
        <f>IFERROR(IF(COUNT(CGAndSG!N16),(CGAndSG!N16),""),"")</f>
        <v/>
      </c>
      <c r="P15" s="154" t="str">
        <f>IFERROR(IF(COUNT(CGAndSG!O16),(CGAndSG!O16),""),"")</f>
        <v/>
      </c>
      <c r="Q15" s="199" t="str">
        <f>IFERROR(IF(COUNT(CGAndSG!P16),(CGAndSG!P16),""),"")</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f>
        <v/>
      </c>
      <c r="V15" s="237" t="str">
        <f>IFERROR(IF(COUNT(CGAndSG!U16),(CGAndSG!U16),""),"")</f>
        <v/>
      </c>
      <c r="W15" s="212" t="str">
        <f t="shared" ref="W15:W17" si="0">+IFERROR(IF(COUNT(V15),ROUND(SUM(V15)/SUM(L15)*100,2),""),0)</f>
        <v/>
      </c>
      <c r="X15" s="237" t="str">
        <f>IFERROR(IF(COUNT(CGAndSG!W16),(CGAndSG!W16),""),"")</f>
        <v/>
      </c>
      <c r="Y15" s="155" t="str">
        <f t="shared" ref="Y15:Y17" si="1">+IFERROR(IF(COUNT(X15),ROUND(SUM(X15)/SUM(L15)*100,2),""),0)</f>
        <v/>
      </c>
      <c r="Z15" s="154" t="str">
        <f>IFERROR(IF(COUNT(CGAndSG!Y16),(CGAndSG!Y16),""),"")</f>
        <v/>
      </c>
      <c r="AA15" s="116"/>
      <c r="AR15" t="s">
        <v>186</v>
      </c>
      <c r="AX15" t="s">
        <v>221</v>
      </c>
      <c r="AZ15" t="s">
        <v>922</v>
      </c>
      <c r="BF15" t="s">
        <v>504</v>
      </c>
    </row>
    <row r="16" spans="5:58" ht="20.100000000000001" customHeight="1">
      <c r="E16" s="129" t="s">
        <v>30</v>
      </c>
      <c r="F16" s="271" t="s">
        <v>31</v>
      </c>
      <c r="H16" s="131" t="str">
        <f>IFERROR(IF(COUNT(Banks!$AD$13),IF(Banks!$AD$13=0,"",Banks!$AD$13),""),"")</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f>
        <v/>
      </c>
      <c r="N16" s="322" t="str">
        <f>IFERROR(IF(COUNT(Banks!M16),(Banks!M16),""),"")</f>
        <v/>
      </c>
      <c r="O16" s="216" t="str">
        <f>IFERROR(IF(COUNT(Banks!N16),(Banks!N16),""),"")</f>
        <v/>
      </c>
      <c r="P16" s="132" t="str">
        <f>IFERROR(IF(COUNT(Banks!O16),(Banks!O16),""),"")</f>
        <v/>
      </c>
      <c r="Q16" s="199" t="str">
        <f>IFERROR(IF(COUNT(Banks!P16),(Banks!P16),""),"")</f>
        <v/>
      </c>
      <c r="R16" s="132" t="str">
        <f>IFERROR(IF(COUNT(Banks!Q16),(Banks!Q16),""),"")</f>
        <v/>
      </c>
      <c r="S16" s="132" t="str">
        <f>IFERROR(IF(COUNT(Banks!R16),(Banks!R16),""),"")</f>
        <v/>
      </c>
      <c r="T16" s="132" t="str">
        <f>IFERROR(IF(COUNT(Banks!S16),(Banks!S16),""),"")</f>
        <v/>
      </c>
      <c r="U16" s="155" t="str">
        <f>+IFERROR(IF(COUNT(L16,T16),ROUND(SUM(L16,T16)/SUM('Shareholding Pattern'!$L$57,'Shareholding Pattern'!$T$57)*100,2),""),"")</f>
        <v/>
      </c>
      <c r="V16" s="237" t="str">
        <f>IFERROR(IF(COUNT(Banks!U16),(Banks!U16),""),"")</f>
        <v/>
      </c>
      <c r="W16" s="212" t="str">
        <f t="shared" si="0"/>
        <v/>
      </c>
      <c r="X16" s="237"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2" t="s">
        <v>33</v>
      </c>
      <c r="H17" s="131" t="str">
        <f>IFERROR(IF(COUNT(OtherIND!$AD$13),IF(OtherIND!$AD$13=0,"",OtherIND!$AD$13),""),"")</f>
        <v/>
      </c>
      <c r="I17" s="156" t="str">
        <f>IFERROR(IF(COUNT(OtherIND!J16),(OtherIND!J16),""),"")</f>
        <v/>
      </c>
      <c r="J17" s="156" t="str">
        <f>IFERROR(IF(COUNT(OtherIND!K16),(OtherIND!K16),""),"")</f>
        <v/>
      </c>
      <c r="K17" s="156" t="str">
        <f>IFERROR(IF(COUNT(OtherIND!L16),(OtherIND!L16),""),"")</f>
        <v/>
      </c>
      <c r="L17" s="156" t="str">
        <f>IFERROR(IF(COUNT(OtherIND!M16),(OtherIND!M16),""),"")</f>
        <v/>
      </c>
      <c r="M17" s="241" t="str">
        <f>+IFERROR(IF(COUNT(L17),ROUND(L17/'Shareholding Pattern'!$L$57*100,2),""),"")</f>
        <v/>
      </c>
      <c r="N17" s="322" t="str">
        <f>IFERROR(IF(COUNT(OtherIND!O16),(OtherIND!O16),""),"")</f>
        <v/>
      </c>
      <c r="O17" s="216" t="str">
        <f>IFERROR(IF(COUNT(OtherIND!P16),(OtherIND!P16),""),"")</f>
        <v/>
      </c>
      <c r="P17" s="156" t="str">
        <f>IFERROR(IF(COUNT(OtherIND!Q16),(OtherIND!Q16),""),"")</f>
        <v/>
      </c>
      <c r="Q17" s="241" t="str">
        <f>IFERROR(IF(COUNT(OtherIND!R16),(OtherIND!R16),""),"")</f>
        <v/>
      </c>
      <c r="R17" s="156" t="str">
        <f>IFERROR(IF(COUNT(OtherIND!S16),(OtherIND!S16),""),"")</f>
        <v/>
      </c>
      <c r="S17" s="156" t="str">
        <f>IFERROR(IF(COUNT(OtherIND!T16),(OtherIND!T16),""),"")</f>
        <v/>
      </c>
      <c r="T17" s="156" t="str">
        <f>IFERROR(IF(COUNT(OtherIND!U16),(OtherIND!U16),""),"")</f>
        <v/>
      </c>
      <c r="U17" s="157" t="str">
        <f>+IFERROR(IF(COUNT(L17,T17),ROUND(SUM(L17,T17)/SUM('Shareholding Pattern'!$L$57,'Shareholding Pattern'!$T$57)*100,2),""),"")</f>
        <v/>
      </c>
      <c r="V17" s="237" t="str">
        <f>IFERROR(IF(COUNT(OtherIND!W16),(OtherIND!W16),""),"")</f>
        <v/>
      </c>
      <c r="W17" s="261" t="str">
        <f t="shared" si="0"/>
        <v/>
      </c>
      <c r="X17" s="237" t="str">
        <f>IFERROR(IF(COUNT(OtherIND!Y16),(OtherIND!Y16),""),"")</f>
        <v/>
      </c>
      <c r="Y17" s="157" t="str">
        <f t="shared" si="1"/>
        <v/>
      </c>
      <c r="Z17" s="156" t="str">
        <f>IFERROR(IF(COUNT(OtherIND!AA16),(OtherIND!AA16),""),"")</f>
        <v/>
      </c>
      <c r="AA17" s="116"/>
      <c r="AR17" t="s">
        <v>188</v>
      </c>
      <c r="AX17" t="s">
        <v>511</v>
      </c>
      <c r="AZ17" t="s">
        <v>924</v>
      </c>
      <c r="BF17" t="s">
        <v>747</v>
      </c>
    </row>
    <row r="18" spans="5:58" ht="20.100000000000001" customHeight="1">
      <c r="E18" s="449" t="s">
        <v>35</v>
      </c>
      <c r="F18" s="449"/>
      <c r="G18" s="449"/>
      <c r="H18" s="4">
        <f>+IFERROR(IF(COUNT(H14:H17),ROUND(SUM(H14:H17),0),""),"")</f>
        <v>6</v>
      </c>
      <c r="I18" s="4">
        <f t="shared" ref="I18:Z18" si="2">+IFERROR(IF(COUNT(I14:I17),ROUND(SUM(I14:I17),0),""),"")</f>
        <v>1036200</v>
      </c>
      <c r="J18" s="4" t="str">
        <f t="shared" si="2"/>
        <v/>
      </c>
      <c r="K18" s="4" t="str">
        <f t="shared" si="2"/>
        <v/>
      </c>
      <c r="L18" s="77">
        <f t="shared" si="2"/>
        <v>1036200</v>
      </c>
      <c r="M18" s="201">
        <f>+IFERROR(IF(COUNT(L18),ROUND(L18/'Shareholding Pattern'!$L$57*100,2),""),"")</f>
        <v>16</v>
      </c>
      <c r="N18" s="163">
        <f t="shared" si="2"/>
        <v>1036200</v>
      </c>
      <c r="O18" s="163" t="str">
        <f t="shared" si="2"/>
        <v/>
      </c>
      <c r="P18" s="4">
        <f t="shared" si="2"/>
        <v>1036200</v>
      </c>
      <c r="Q18" s="209">
        <f>IFERROR(IF(COUNT(P18),ROUND(P18/$P$58*100,2),""),"")</f>
        <v>16</v>
      </c>
      <c r="R18" s="77" t="str">
        <f t="shared" si="2"/>
        <v/>
      </c>
      <c r="S18" s="77" t="str">
        <f t="shared" si="2"/>
        <v/>
      </c>
      <c r="T18" s="77" t="str">
        <f t="shared" si="2"/>
        <v/>
      </c>
      <c r="U18" s="158">
        <f>+IFERROR(IF(COUNT(L18,T18),ROUND(SUM(L18,T18)/SUM('Shareholding Pattern'!$L$57,'Shareholding Pattern'!$T$57)*100,2),""),"")</f>
        <v>16</v>
      </c>
      <c r="V18" s="77">
        <f t="shared" si="2"/>
        <v>1036200</v>
      </c>
      <c r="W18" s="213">
        <f>+IFERROR(IF(COUNT(V18),ROUND(SUM(V18)/SUM(L18)*100,2),""),0)</f>
        <v>100</v>
      </c>
      <c r="X18" s="77" t="str">
        <f t="shared" si="2"/>
        <v/>
      </c>
      <c r="Y18" s="159" t="str">
        <f>+IFERROR(IF(COUNT(X18),ROUND(SUM(X18)/SUM(L18)*100,2),""),0)</f>
        <v/>
      </c>
      <c r="Z18" s="4">
        <f t="shared" si="2"/>
        <v>1036200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76" t="s">
        <v>38</v>
      </c>
      <c r="H20" s="135" t="str">
        <f>IFERROR(IF(COUNT(Individuals!$AD$13),IF(Individuals!$AD$13=0,"",Individuals!$AD$13),""),"")</f>
        <v/>
      </c>
      <c r="I20" s="135" t="str">
        <f>IFERROR(IF(COUNT(Individuals!H16),(Individuals!H16),""),"")</f>
        <v/>
      </c>
      <c r="J20" s="135" t="str">
        <f>IFERROR(IF(COUNT(Individuals!I16),(Individuals!I16),""),"")</f>
        <v/>
      </c>
      <c r="K20" s="135" t="str">
        <f>IFERROR(IF(COUNT(Individuals!J16),(Individuals!J16),""),"")</f>
        <v/>
      </c>
      <c r="L20" s="217" t="str">
        <f>IFERROR(IF(COUNT(Individuals!K16),(Individuals!K16),""),"")</f>
        <v/>
      </c>
      <c r="M20" s="200" t="str">
        <f>+IFERROR(IF(COUNT(L20),ROUND(L20/'Shareholding Pattern'!$L$57*100,2),""),"")</f>
        <v/>
      </c>
      <c r="N20" s="322" t="str">
        <f>IFERROR(IF(COUNT(Individuals!M16),(Individuals!M16),""),"")</f>
        <v/>
      </c>
      <c r="O20" s="216" t="str">
        <f>IFERROR(IF(COUNT(Individuals!N16),(Individuals!N16),""),"")</f>
        <v/>
      </c>
      <c r="P20" s="135" t="str">
        <f>IFERROR(IF(COUNT(Individuals!O16),(Individuals!O16),""),"")</f>
        <v/>
      </c>
      <c r="Q20" s="211" t="str">
        <f>IFERROR(IF(COUNT(Individuals!P16),(Individuals!P16),""),"")</f>
        <v/>
      </c>
      <c r="R20" s="135" t="str">
        <f>IFERROR(IF(COUNT(Individuals!Q16),(Individuals!Q16),""),"")</f>
        <v/>
      </c>
      <c r="S20" s="135" t="str">
        <f>IFERROR(IF(COUNT(Individuals!R16),(Individuals!R16),""),"")</f>
        <v/>
      </c>
      <c r="T20" s="135" t="str">
        <f>IFERROR(IF(COUNT(Individuals!S16),(Individuals!S16),""),"")</f>
        <v/>
      </c>
      <c r="U20" s="160" t="str">
        <f>+IFERROR(IF(COUNT(L20,T20),ROUND(SUM(L20,T20)/SUM('Shareholding Pattern'!$L$57,'Shareholding Pattern'!$T$57)*100,2),""),"")</f>
        <v/>
      </c>
      <c r="V20" s="237" t="str">
        <f>IFERROR(IF(COUNT(Individuals!U16),(Individuals!U16),""),"")</f>
        <v/>
      </c>
      <c r="W20" s="292" t="str">
        <f t="shared" ref="W20:W25" si="3">+IFERROR(IF(COUNT(V20),ROUND(SUM(V20)/SUM(L20)*100,2),""),0)</f>
        <v/>
      </c>
      <c r="X20" s="237" t="str">
        <f>IFERROR(IF(COUNT(Individuals!W16),(Individuals!W16),""),"")</f>
        <v/>
      </c>
      <c r="Y20" s="160" t="str">
        <f t="shared" ref="Y20:Y26" si="4">+IFERROR(IF(COUNT(X20),ROUND(SUM(X20)/SUM(L20)*100,2),""),0)</f>
        <v/>
      </c>
      <c r="Z20" s="135" t="str">
        <f>IFERROR(IF(COUNT(Individuals!Y16),(Individuals!Y16),""),"")</f>
        <v/>
      </c>
      <c r="AA20" s="116"/>
      <c r="AR20" t="s">
        <v>190</v>
      </c>
      <c r="AX20" t="s">
        <v>40</v>
      </c>
      <c r="AZ20" t="s">
        <v>233</v>
      </c>
      <c r="BF20" t="s">
        <v>762</v>
      </c>
    </row>
    <row r="21" spans="5:58" ht="20.100000000000001" customHeight="1">
      <c r="E21" s="130" t="s">
        <v>28</v>
      </c>
      <c r="F21" s="278" t="s">
        <v>39</v>
      </c>
      <c r="H21" s="131" t="str">
        <f>IFERROR(IF(COUNT(Government!$AD$13),IF(Government!$AD$13=0,"",Government!$AD$13),""),"")</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f>
        <v/>
      </c>
      <c r="N21" s="322" t="str">
        <f>IFERROR(IF(COUNT(Government!M16),(Government!M16),""),"")</f>
        <v/>
      </c>
      <c r="O21" s="216" t="str">
        <f>IFERROR(IF(COUNT(Government!N16),(Government!N16),""),"")</f>
        <v/>
      </c>
      <c r="P21" s="131" t="str">
        <f>IFERROR(IF(COUNT(Government!O16),(Government!O16),""),"")</f>
        <v/>
      </c>
      <c r="Q21" s="208" t="str">
        <f>IFERROR(IF(COUNT(Government!P16),(Government!P16),""),"")</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f>
        <v/>
      </c>
      <c r="V21" s="237" t="str">
        <f>IFERROR(IF(COUNT(Government!U16),(Government!U16),""),"")</f>
        <v/>
      </c>
      <c r="W21" s="212" t="str">
        <f t="shared" si="3"/>
        <v/>
      </c>
      <c r="X21" s="237" t="str">
        <f>IFERROR(IF(COUNT(Government!W16),(Government!W16),""),"")</f>
        <v/>
      </c>
      <c r="Y21" s="155" t="str">
        <f t="shared" si="4"/>
        <v/>
      </c>
      <c r="Z21" s="131" t="str">
        <f>IFERROR(IF(COUNT(Government!Y16),(Government!Y16),""),"")</f>
        <v/>
      </c>
      <c r="AA21" s="116"/>
      <c r="AR21" t="s">
        <v>191</v>
      </c>
      <c r="AX21" t="s">
        <v>513</v>
      </c>
      <c r="AZ21" t="s">
        <v>232</v>
      </c>
      <c r="BF21" t="s">
        <v>578</v>
      </c>
    </row>
    <row r="22" spans="5:58" ht="20.100000000000001" customHeight="1">
      <c r="E22" s="130" t="s">
        <v>30</v>
      </c>
      <c r="F22" s="278" t="s">
        <v>40</v>
      </c>
      <c r="H22" s="131" t="str">
        <f>IFERROR(IF(COUNT(Institutions!$AD$13),IF(Institutions!$AD$13=0,"",Institutions!$AD$13),""),"")</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f>
        <v/>
      </c>
      <c r="N22" s="322" t="str">
        <f>IFERROR(IF(COUNT(Institutions!M16),(Institutions!M16),""),"")</f>
        <v/>
      </c>
      <c r="O22" s="216" t="str">
        <f>IFERROR(IF(COUNT(Institutions!N16),(Institutions!N16),""),"")</f>
        <v/>
      </c>
      <c r="P22" s="131" t="str">
        <f>IFERROR(IF(COUNT(Institutions!O16),(Institutions!O16),""),"")</f>
        <v/>
      </c>
      <c r="Q22" s="208" t="str">
        <f>IFERROR(IF(COUNT(Institutions!P16),(Institutions!P16),""),"")</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f>
        <v/>
      </c>
      <c r="V22" s="237" t="str">
        <f>IFERROR(IF(COUNT(Institutions!U16),(Institutions!U16),""),"")</f>
        <v/>
      </c>
      <c r="W22" s="212" t="str">
        <f t="shared" si="3"/>
        <v/>
      </c>
      <c r="X22" s="237" t="str">
        <f>IFERROR(IF(COUNT(Institutions!W16),(Institutions!W16),""),"")</f>
        <v/>
      </c>
      <c r="Y22" s="155" t="str">
        <f t="shared" si="4"/>
        <v/>
      </c>
      <c r="Z22" s="131" t="str">
        <f>IFERROR(IF(COUNT(Institutions!Y16),(Institutions!Y16),""),"")</f>
        <v/>
      </c>
      <c r="AA22" s="116"/>
      <c r="AR22" t="s">
        <v>193</v>
      </c>
      <c r="AX22" t="s">
        <v>514</v>
      </c>
      <c r="AZ22" t="s">
        <v>234</v>
      </c>
      <c r="BF22" t="s">
        <v>775</v>
      </c>
    </row>
    <row r="23" spans="5:58" ht="20.100000000000001" customHeight="1">
      <c r="E23" s="130" t="s">
        <v>32</v>
      </c>
      <c r="F23" s="278" t="s">
        <v>41</v>
      </c>
      <c r="H23" s="131" t="str">
        <f>IFERROR(IF(COUNT(FPIPromoter!$AD$13),IF(FPIPromoter!$AD$13=0,"",FPIPromoter!$AD$13),""),"")</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f>
        <v/>
      </c>
      <c r="N23" s="322" t="str">
        <f>IFERROR(IF(COUNT(FPIPromoter!M16),(FPIPromoter!M16),""),"")</f>
        <v/>
      </c>
      <c r="O23" s="216" t="str">
        <f>IFERROR(IF(COUNT(FPIPromoter!N16),(FPIPromoter!N16),""),"")</f>
        <v/>
      </c>
      <c r="P23" s="131" t="str">
        <f>IFERROR(IF(COUNT(FPIPromoter!O16),(FPIPromoter!O16),""),"")</f>
        <v/>
      </c>
      <c r="Q23" s="208" t="str">
        <f>IFERROR(IF(COUNT(FPIPromoter!P16),(FPIPromoter!P16),""),"")</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f>
        <v/>
      </c>
      <c r="V23" s="237" t="str">
        <f>IFERROR(IF(COUNT(FPIPromoter!U16),(FPIPromoter!U16),""),"")</f>
        <v/>
      </c>
      <c r="W23" s="212" t="str">
        <f t="shared" si="3"/>
        <v/>
      </c>
      <c r="X23" s="237" t="str">
        <f>IFERROR(IF(COUNT(FPIPromoter!W16),(FPIPromoter!W16),""),"")</f>
        <v/>
      </c>
      <c r="Y23" s="155" t="str">
        <f t="shared" si="4"/>
        <v/>
      </c>
      <c r="Z23" s="131" t="str">
        <f>IFERROR(IF(COUNT(FPIPromoter!Y16),(FPIPromoter!Y16),""),"")</f>
        <v/>
      </c>
      <c r="AA23" s="116"/>
      <c r="AR23" t="s">
        <v>192</v>
      </c>
      <c r="AX23" t="s">
        <v>515</v>
      </c>
      <c r="AZ23" t="s">
        <v>235</v>
      </c>
      <c r="BF23" t="s">
        <v>790</v>
      </c>
    </row>
    <row r="24" spans="5:58" ht="20.100000000000001" customHeight="1">
      <c r="E24" s="136" t="s">
        <v>42</v>
      </c>
      <c r="F24" s="280" t="s">
        <v>33</v>
      </c>
      <c r="H24" s="137" t="str">
        <f>IFERROR(IF(COUNT(OtherForeign!$AD$13),IF(OtherForeign!$AD$13=0,"",OtherForeign!$AD$13),""),"")</f>
        <v/>
      </c>
      <c r="I24" s="137" t="str">
        <f>IFERROR(IF(COUNT(OtherForeign!J16),(OtherForeign!J16),""),"")</f>
        <v/>
      </c>
      <c r="J24" s="137" t="str">
        <f>IFERROR(IF(COUNT(OtherForeign!K16),(OtherForeign!K16),""),"")</f>
        <v/>
      </c>
      <c r="K24" s="137" t="str">
        <f>IFERROR(IF(COUNT(OtherForeign!L16),(OtherForeign!L16),""),"")</f>
        <v/>
      </c>
      <c r="L24" s="245" t="str">
        <f>IFERROR(IF(COUNT(OtherForeign!M16),(OtherForeign!M16),""),"")</f>
        <v/>
      </c>
      <c r="M24" s="241" t="str">
        <f>+IFERROR(IF(COUNT(L24),ROUND(L24/'Shareholding Pattern'!$L$57*100,2),""),"")</f>
        <v/>
      </c>
      <c r="N24" s="322" t="str">
        <f>IFERROR(IF(COUNT(OtherForeign!O16),(OtherForeign!O16),""),"")</f>
        <v/>
      </c>
      <c r="O24" s="216" t="str">
        <f>IFERROR(IF(COUNT(OtherForeign!P16),(OtherForeign!P16),""),"")</f>
        <v/>
      </c>
      <c r="P24" s="137" t="str">
        <f>IFERROR(IF(COUNT(OtherForeign!Q16),(OtherForeign!Q16),""),"")</f>
        <v/>
      </c>
      <c r="Q24" s="246" t="str">
        <f>IFERROR(IF(COUNT(OtherForeign!R16),(OtherForeign!R16),""),"")</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f>
        <v/>
      </c>
      <c r="V24" s="237" t="str">
        <f>IFERROR(IF(COUNT(OtherForeign!W16),(OtherForeign!W16),""),"")</f>
        <v/>
      </c>
      <c r="W24" s="261" t="str">
        <f t="shared" si="3"/>
        <v/>
      </c>
      <c r="X24" s="237" t="str">
        <f>IFERROR(IF(COUNT(OtherForeign!Y16),(OtherForeign!Y16),""),"")</f>
        <v/>
      </c>
      <c r="Y24" s="157" t="str">
        <f t="shared" si="4"/>
        <v/>
      </c>
      <c r="Z24" s="137" t="str">
        <f>IFERROR(IF(COUNT(OtherForeign!AA16),(OtherForeign!AA16),""),"")</f>
        <v/>
      </c>
      <c r="AA24" s="116"/>
      <c r="AR24" t="s">
        <v>194</v>
      </c>
      <c r="AX24" t="s">
        <v>516</v>
      </c>
      <c r="AZ24" t="s">
        <v>236</v>
      </c>
      <c r="BF24" t="s">
        <v>591</v>
      </c>
    </row>
    <row r="25" spans="5:58" ht="20.100000000000001" customHeight="1">
      <c r="E25" s="449" t="s">
        <v>43</v>
      </c>
      <c r="F25" s="449"/>
      <c r="G25" s="449"/>
      <c r="H25" s="180" t="str">
        <f t="shared" ref="H25:Z25" si="5">+IFERROR(IF(COUNT(H20:H24),ROUND(SUM(H20:H24),0),""),"")</f>
        <v/>
      </c>
      <c r="I25" s="180" t="str">
        <f t="shared" si="5"/>
        <v/>
      </c>
      <c r="J25" s="180" t="str">
        <f t="shared" si="5"/>
        <v/>
      </c>
      <c r="K25" s="180" t="str">
        <f t="shared" si="5"/>
        <v/>
      </c>
      <c r="L25" s="183" t="str">
        <f t="shared" si="5"/>
        <v/>
      </c>
      <c r="M25" s="201" t="str">
        <f>+IFERROR(IF(COUNT(L25),ROUND(L25/'Shareholding Pattern'!$L$57*100,2),""),"")</f>
        <v/>
      </c>
      <c r="N25" s="181" t="str">
        <f t="shared" si="5"/>
        <v/>
      </c>
      <c r="O25" s="181" t="str">
        <f t="shared" si="5"/>
        <v/>
      </c>
      <c r="P25" s="180" t="str">
        <f t="shared" si="5"/>
        <v/>
      </c>
      <c r="Q25" s="209" t="str">
        <f>IFERROR(IF(COUNT(P25),ROUND(P25/$P$58*100,2),""),"")</f>
        <v/>
      </c>
      <c r="R25" s="182" t="str">
        <f t="shared" si="5"/>
        <v/>
      </c>
      <c r="S25" s="182" t="str">
        <f t="shared" si="5"/>
        <v/>
      </c>
      <c r="T25" s="180" t="str">
        <f t="shared" si="5"/>
        <v/>
      </c>
      <c r="U25" s="158" t="str">
        <f>+IFERROR(IF(COUNT(L25,T25),ROUND(SUM(L25,T25)/SUM('Shareholding Pattern'!$L$57,'Shareholding Pattern'!$T$57)*100,2),""),"")</f>
        <v/>
      </c>
      <c r="V25" s="183" t="str">
        <f t="shared" si="5"/>
        <v/>
      </c>
      <c r="W25" s="213" t="str">
        <f t="shared" si="3"/>
        <v/>
      </c>
      <c r="X25" s="77" t="str">
        <f t="shared" si="5"/>
        <v/>
      </c>
      <c r="Y25" s="159" t="str">
        <f t="shared" si="4"/>
        <v/>
      </c>
      <c r="Z25" s="180" t="str">
        <f t="shared" si="5"/>
        <v/>
      </c>
      <c r="AR25" t="s">
        <v>195</v>
      </c>
      <c r="AX25" t="s">
        <v>222</v>
      </c>
      <c r="AZ25" t="s">
        <v>237</v>
      </c>
      <c r="BF25" t="s">
        <v>604</v>
      </c>
    </row>
    <row r="26" spans="5:58" ht="36.75" customHeight="1">
      <c r="E26" s="448" t="s">
        <v>105</v>
      </c>
      <c r="F26" s="448"/>
      <c r="G26" s="448"/>
      <c r="H26" s="180">
        <f t="shared" ref="H26:Z26" si="6">+IFERROR(IF(COUNT(H18,H25),ROUND(SUM(H18,H25),0),""),"")</f>
        <v>6</v>
      </c>
      <c r="I26" s="180">
        <f t="shared" si="6"/>
        <v>1036200</v>
      </c>
      <c r="J26" s="180" t="str">
        <f t="shared" si="6"/>
        <v/>
      </c>
      <c r="K26" s="180" t="str">
        <f t="shared" si="6"/>
        <v/>
      </c>
      <c r="L26" s="183">
        <f t="shared" si="6"/>
        <v>1036200</v>
      </c>
      <c r="M26" s="201">
        <f>+IFERROR(IF(COUNT(L26),ROUND(L26/'Shareholding Pattern'!$L$57*100,2),""),"")</f>
        <v>16</v>
      </c>
      <c r="N26" s="181">
        <f t="shared" si="6"/>
        <v>1036200</v>
      </c>
      <c r="O26" s="181" t="str">
        <f t="shared" si="6"/>
        <v/>
      </c>
      <c r="P26" s="180">
        <f t="shared" si="6"/>
        <v>1036200</v>
      </c>
      <c r="Q26" s="209">
        <f>IFERROR(IF(COUNT(P26),ROUND(P26/$P$58*100,2),""),"")</f>
        <v>16</v>
      </c>
      <c r="R26" s="182" t="str">
        <f t="shared" si="6"/>
        <v/>
      </c>
      <c r="S26" s="182" t="str">
        <f t="shared" si="6"/>
        <v/>
      </c>
      <c r="T26" s="183" t="str">
        <f t="shared" si="6"/>
        <v/>
      </c>
      <c r="U26" s="158">
        <f>+IFERROR(IF(COUNT(L26,T26),ROUND(SUM(L26,T26)/SUM('Shareholding Pattern'!$L$57,'Shareholding Pattern'!$T$57)*100,2),""),"")</f>
        <v>16</v>
      </c>
      <c r="V26" s="183">
        <f t="shared" si="6"/>
        <v>1036200</v>
      </c>
      <c r="W26" s="213">
        <f>+IFERROR(IF(COUNT(V26),ROUND(SUM(V26)/SUM(L26)*100,2),""),0)</f>
        <v>100</v>
      </c>
      <c r="X26" s="183" t="str">
        <f t="shared" si="6"/>
        <v/>
      </c>
      <c r="Y26" s="159" t="str">
        <f t="shared" si="4"/>
        <v/>
      </c>
      <c r="Z26" s="183">
        <f t="shared" si="6"/>
        <v>1036200</v>
      </c>
      <c r="AR26" t="s">
        <v>196</v>
      </c>
      <c r="AX26" t="s">
        <v>517</v>
      </c>
      <c r="AZ26" t="s">
        <v>238</v>
      </c>
      <c r="BF26" t="s">
        <v>617</v>
      </c>
    </row>
    <row r="27" spans="5:58" ht="33" customHeight="1">
      <c r="E27" s="179"/>
      <c r="F27" s="274" t="s">
        <v>962</v>
      </c>
      <c r="M27"/>
      <c r="N27"/>
      <c r="O27"/>
      <c r="Q27"/>
      <c r="U27"/>
      <c r="V27"/>
      <c r="W27"/>
      <c r="X27"/>
      <c r="Y27"/>
      <c r="AX27" t="s">
        <v>518</v>
      </c>
      <c r="AZ27" t="s">
        <v>239</v>
      </c>
      <c r="BF27" t="s">
        <v>630</v>
      </c>
    </row>
    <row r="28" spans="5:58" ht="31.5" customHeight="1">
      <c r="E28" s="138" t="s">
        <v>44</v>
      </c>
      <c r="F28" s="364" t="s">
        <v>45</v>
      </c>
      <c r="G28" s="365"/>
      <c r="H28" s="366" t="s">
        <v>1071</v>
      </c>
      <c r="I28" s="365"/>
      <c r="J28" s="365"/>
      <c r="K28" s="365"/>
      <c r="L28" s="365"/>
      <c r="M28" s="365"/>
      <c r="N28" s="365"/>
      <c r="O28" s="365"/>
      <c r="P28" s="365"/>
      <c r="Q28" s="365"/>
      <c r="R28" s="365"/>
      <c r="S28" s="365"/>
      <c r="T28" s="365"/>
      <c r="U28" s="365"/>
      <c r="V28" s="365"/>
      <c r="W28" s="365"/>
      <c r="X28" s="365"/>
      <c r="Y28" s="365"/>
      <c r="Z28" s="367"/>
      <c r="AX28" t="s">
        <v>519</v>
      </c>
      <c r="AZ28" t="s">
        <v>240</v>
      </c>
      <c r="BF28" t="s">
        <v>643</v>
      </c>
    </row>
    <row r="29" spans="5:58" ht="20.100000000000001" customHeight="1">
      <c r="E29" s="128" t="s">
        <v>24</v>
      </c>
      <c r="F29" s="467" t="s">
        <v>40</v>
      </c>
      <c r="G29" s="468"/>
      <c r="H29" s="468"/>
      <c r="I29" s="468"/>
      <c r="J29" s="468"/>
      <c r="K29" s="468"/>
      <c r="L29" s="468"/>
      <c r="M29" s="468"/>
      <c r="N29" s="468"/>
      <c r="O29" s="468"/>
      <c r="P29" s="468"/>
      <c r="Q29" s="468"/>
      <c r="R29" s="468"/>
      <c r="S29" s="468"/>
      <c r="T29" s="468"/>
      <c r="U29" s="468"/>
      <c r="V29" s="468"/>
      <c r="W29" s="468"/>
      <c r="X29" s="468"/>
      <c r="Y29" s="468"/>
      <c r="Z29" s="468"/>
      <c r="AX29" t="s">
        <v>520</v>
      </c>
      <c r="AZ29" t="s">
        <v>241</v>
      </c>
      <c r="BF29" t="s">
        <v>656</v>
      </c>
    </row>
    <row r="30" spans="5:58" ht="20.100000000000001" customHeight="1">
      <c r="E30" s="130" t="s">
        <v>26</v>
      </c>
      <c r="F30" s="281" t="s">
        <v>46</v>
      </c>
      <c r="H30" s="153"/>
      <c r="I30" s="153"/>
      <c r="J30" s="153"/>
      <c r="K30" s="153"/>
      <c r="L30" s="242" t="str">
        <f>+IFERROR(IF(COUNT(I30:K30),ROUND(SUM(I30:K30),0),""),"")</f>
        <v/>
      </c>
      <c r="M30" s="243" t="str">
        <f>+IFERROR(IF(COUNT(L30),ROUND(L30/'Shareholding Pattern'!$L$57*100,2),""),"")</f>
        <v/>
      </c>
      <c r="N30" s="363" t="str">
        <f>IF(I30="","",I30)</f>
        <v/>
      </c>
      <c r="O30" s="153"/>
      <c r="P30" s="131" t="str">
        <f>+IFERROR(IF(COUNT(N30:O30),ROUND(SUM(N30:O30),0),""),"")</f>
        <v/>
      </c>
      <c r="Q30" s="208" t="str">
        <f>+IFERROR(IF(COUNT(P30),ROUND(P30/'Shareholding Pattern'!$P$58*100,2),""),"")</f>
        <v/>
      </c>
      <c r="R30" s="153"/>
      <c r="S30" s="153"/>
      <c r="T30" s="131" t="str">
        <f>+IFERROR(IF(COUNT(R30:S30),ROUND(SUM(R30:S30),0),""),"")</f>
        <v/>
      </c>
      <c r="U30" s="244" t="str">
        <f>+IFERROR(IF(COUNT(L30,T30),ROUND(SUM(L30,T30)/SUM('Shareholding Pattern'!$L$57,'Shareholding Pattern'!$T$57)*100,2),""),"")</f>
        <v/>
      </c>
      <c r="V30" s="153"/>
      <c r="W30" s="212" t="str">
        <f t="shared" ref="W30:W41" si="7">+IFERROR(IF(COUNT(V30),ROUND(SUM(V30)/SUM(L30)*100,2),""),0)</f>
        <v/>
      </c>
      <c r="X30" s="452"/>
      <c r="Y30" s="453"/>
      <c r="Z30" s="153"/>
      <c r="AR30" t="s">
        <v>197</v>
      </c>
      <c r="AX30" t="s">
        <v>521</v>
      </c>
      <c r="AZ30" t="s">
        <v>242</v>
      </c>
      <c r="BF30" t="s">
        <v>669</v>
      </c>
    </row>
    <row r="31" spans="5:58" ht="20.100000000000001" customHeight="1">
      <c r="E31" s="130" t="s">
        <v>28</v>
      </c>
      <c r="F31" s="278" t="s">
        <v>47</v>
      </c>
      <c r="H31" s="153"/>
      <c r="I31" s="153"/>
      <c r="J31" s="153"/>
      <c r="K31" s="153"/>
      <c r="L31" s="218" t="str">
        <f t="shared" ref="L31:L39" si="8">+IFERROR(IF(COUNT(I31:K31),ROUND(SUM(I31:K31),0),""),"")</f>
        <v/>
      </c>
      <c r="M31" s="243" t="str">
        <f>+IFERROR(IF(COUNT(L31),ROUND(L31/'Shareholding Pattern'!$L$57*100,2),""),"")</f>
        <v/>
      </c>
      <c r="N31" s="363" t="str">
        <f t="shared" ref="N31:N38" si="9">IF(I31="","",I31)</f>
        <v/>
      </c>
      <c r="O31" s="153"/>
      <c r="P31" s="131" t="str">
        <f t="shared" ref="P31:P38" si="10">+IFERROR(IF(COUNT(N31:O31),ROUND(SUM(N31:O31),0),""),"")</f>
        <v/>
      </c>
      <c r="Q31" s="208" t="str">
        <f>+IFERROR(IF(COUNT(P31),ROUND(P31/'Shareholding Pattern'!$P$58*100,2),""),"")</f>
        <v/>
      </c>
      <c r="R31" s="153"/>
      <c r="S31" s="153"/>
      <c r="T31" s="131" t="str">
        <f t="shared" ref="T31:T38" si="11">+IFERROR(IF(COUNT(R31:S31),ROUND(SUM(R31:S31),0),""),"")</f>
        <v/>
      </c>
      <c r="U31" s="244" t="str">
        <f>+IFERROR(IF(COUNT(L31,T31),ROUND(SUM(L31,T31)/SUM('Shareholding Pattern'!$L$57,'Shareholding Pattern'!$T$57)*100,2),""),"")</f>
        <v/>
      </c>
      <c r="V31" s="153"/>
      <c r="W31" s="212" t="str">
        <f t="shared" si="7"/>
        <v/>
      </c>
      <c r="X31" s="454"/>
      <c r="Y31" s="455"/>
      <c r="Z31" s="153"/>
      <c r="AR31" t="s">
        <v>198</v>
      </c>
      <c r="AX31" t="s">
        <v>522</v>
      </c>
      <c r="AZ31" t="s">
        <v>243</v>
      </c>
      <c r="BF31" t="s">
        <v>803</v>
      </c>
    </row>
    <row r="32" spans="5:58" ht="20.100000000000001" customHeight="1">
      <c r="E32" s="130" t="s">
        <v>30</v>
      </c>
      <c r="F32" s="278" t="s">
        <v>48</v>
      </c>
      <c r="H32" s="153"/>
      <c r="I32" s="153"/>
      <c r="J32" s="153"/>
      <c r="K32" s="153"/>
      <c r="L32" s="218" t="str">
        <f t="shared" si="8"/>
        <v/>
      </c>
      <c r="M32" s="243" t="str">
        <f>+IFERROR(IF(COUNT(L32),ROUND(L32/'Shareholding Pattern'!$L$57*100,2),""),"")</f>
        <v/>
      </c>
      <c r="N32" s="363" t="str">
        <f t="shared" si="9"/>
        <v/>
      </c>
      <c r="O32" s="153"/>
      <c r="P32" s="131" t="str">
        <f t="shared" si="10"/>
        <v/>
      </c>
      <c r="Q32" s="208" t="str">
        <f>+IFERROR(IF(COUNT(P32),ROUND(P32/'Shareholding Pattern'!$P$58*100,2),""),"")</f>
        <v/>
      </c>
      <c r="R32" s="153"/>
      <c r="S32" s="153"/>
      <c r="T32" s="131" t="str">
        <f t="shared" si="11"/>
        <v/>
      </c>
      <c r="U32" s="244" t="str">
        <f>+IFERROR(IF(COUNT(L32,T32),ROUND(SUM(L32,T32)/SUM('Shareholding Pattern'!$L$57,'Shareholding Pattern'!$T$57)*100,2),""),"")</f>
        <v/>
      </c>
      <c r="V32" s="153"/>
      <c r="W32" s="212" t="str">
        <f t="shared" si="7"/>
        <v/>
      </c>
      <c r="X32" s="454"/>
      <c r="Y32" s="455"/>
      <c r="Z32" s="153"/>
      <c r="AR32" t="s">
        <v>199</v>
      </c>
      <c r="AX32" t="s">
        <v>223</v>
      </c>
      <c r="AZ32" t="s">
        <v>244</v>
      </c>
      <c r="BF32" t="s">
        <v>682</v>
      </c>
    </row>
    <row r="33" spans="5:58" ht="20.100000000000001" customHeight="1">
      <c r="E33" s="130" t="s">
        <v>32</v>
      </c>
      <c r="F33" s="278" t="s">
        <v>49</v>
      </c>
      <c r="H33" s="153"/>
      <c r="I33" s="153"/>
      <c r="J33" s="153"/>
      <c r="K33" s="153"/>
      <c r="L33" s="218" t="str">
        <f t="shared" si="8"/>
        <v/>
      </c>
      <c r="M33" s="243" t="str">
        <f>+IFERROR(IF(COUNT(L33),ROUND(L33/'Shareholding Pattern'!$L$57*100,2),""),"")</f>
        <v/>
      </c>
      <c r="N33" s="363" t="str">
        <f t="shared" si="9"/>
        <v/>
      </c>
      <c r="O33" s="153"/>
      <c r="P33" s="131" t="str">
        <f t="shared" si="10"/>
        <v/>
      </c>
      <c r="Q33" s="208" t="str">
        <f>+IFERROR(IF(COUNT(P33),ROUND(P33/'Shareholding Pattern'!$P$58*100,2),""),"")</f>
        <v/>
      </c>
      <c r="R33" s="153"/>
      <c r="S33" s="153"/>
      <c r="T33" s="131" t="str">
        <f t="shared" si="11"/>
        <v/>
      </c>
      <c r="U33" s="244" t="str">
        <f>+IFERROR(IF(COUNT(L33,T33),ROUND(SUM(L33,T33)/SUM('Shareholding Pattern'!$L$57,'Shareholding Pattern'!$T$57)*100,2),""),"")</f>
        <v/>
      </c>
      <c r="V33" s="153"/>
      <c r="W33" s="212" t="str">
        <f t="shared" si="7"/>
        <v/>
      </c>
      <c r="X33" s="454"/>
      <c r="Y33" s="455"/>
      <c r="Z33" s="153"/>
      <c r="AR33" t="s">
        <v>200</v>
      </c>
      <c r="AX33" t="s">
        <v>224</v>
      </c>
      <c r="AZ33" t="s">
        <v>245</v>
      </c>
      <c r="BF33" t="s">
        <v>695</v>
      </c>
    </row>
    <row r="34" spans="5:58" ht="20.100000000000001" customHeight="1">
      <c r="E34" s="130" t="s">
        <v>42</v>
      </c>
      <c r="F34" s="278" t="s">
        <v>50</v>
      </c>
      <c r="H34" s="153"/>
      <c r="I34" s="153"/>
      <c r="J34" s="153"/>
      <c r="K34" s="153"/>
      <c r="L34" s="218" t="str">
        <f t="shared" si="8"/>
        <v/>
      </c>
      <c r="M34" s="243" t="str">
        <f>+IFERROR(IF(COUNT(L34),ROUND(L34/'Shareholding Pattern'!$L$57*100,2),""),"")</f>
        <v/>
      </c>
      <c r="N34" s="363" t="str">
        <f t="shared" si="9"/>
        <v/>
      </c>
      <c r="O34" s="153"/>
      <c r="P34" s="131" t="str">
        <f t="shared" si="10"/>
        <v/>
      </c>
      <c r="Q34" s="208" t="str">
        <f>+IFERROR(IF(COUNT(P34),ROUND(P34/'Shareholding Pattern'!$P$58*100,2),""),"")</f>
        <v/>
      </c>
      <c r="R34" s="153"/>
      <c r="S34" s="153"/>
      <c r="T34" s="131" t="str">
        <f>+IFERROR(IF(COUNT(R34,S34),ROUND(SUM(R34,S34),0),""),"")</f>
        <v/>
      </c>
      <c r="U34" s="244" t="str">
        <f>+IFERROR(IF(COUNT(L34,T34),ROUND(SUM(L34,T34)/SUM('Shareholding Pattern'!$L$57,'Shareholding Pattern'!$T$57)*100,2),""),"")</f>
        <v/>
      </c>
      <c r="V34" s="153"/>
      <c r="W34" s="212" t="str">
        <f t="shared" si="7"/>
        <v/>
      </c>
      <c r="X34" s="454"/>
      <c r="Y34" s="455"/>
      <c r="Z34" s="153"/>
      <c r="AR34" t="s">
        <v>201</v>
      </c>
      <c r="AX34" t="s">
        <v>225</v>
      </c>
      <c r="AZ34" t="s">
        <v>246</v>
      </c>
      <c r="BF34" t="s">
        <v>708</v>
      </c>
    </row>
    <row r="35" spans="5:58" ht="20.100000000000001" customHeight="1">
      <c r="E35" s="130" t="s">
        <v>51</v>
      </c>
      <c r="F35" s="278" t="s">
        <v>31</v>
      </c>
      <c r="H35" s="153"/>
      <c r="I35" s="153"/>
      <c r="J35" s="153"/>
      <c r="K35" s="153"/>
      <c r="L35" s="218" t="str">
        <f t="shared" si="8"/>
        <v/>
      </c>
      <c r="M35" s="243" t="str">
        <f>+IFERROR(IF(COUNT(L35),ROUND(L35/'Shareholding Pattern'!$L$57*100,2),""),"")</f>
        <v/>
      </c>
      <c r="N35" s="363" t="str">
        <f t="shared" si="9"/>
        <v/>
      </c>
      <c r="O35" s="153"/>
      <c r="P35" s="131" t="str">
        <f t="shared" si="10"/>
        <v/>
      </c>
      <c r="Q35" s="208" t="str">
        <f>+IFERROR(IF(COUNT(P35),ROUND(P35/'Shareholding Pattern'!$P$58*100,2),""),"")</f>
        <v/>
      </c>
      <c r="R35" s="153"/>
      <c r="S35" s="153"/>
      <c r="T35" s="131" t="str">
        <f t="shared" si="11"/>
        <v/>
      </c>
      <c r="U35" s="244" t="str">
        <f>+IFERROR(IF(COUNT(L35,T35),ROUND(SUM(L35,T35)/SUM('Shareholding Pattern'!$L$57,'Shareholding Pattern'!$T$57)*100,2),""),"")</f>
        <v/>
      </c>
      <c r="V35" s="153"/>
      <c r="W35" s="212" t="str">
        <f t="shared" si="7"/>
        <v/>
      </c>
      <c r="X35" s="454"/>
      <c r="Y35" s="455"/>
      <c r="Z35" s="153"/>
      <c r="AR35" t="s">
        <v>202</v>
      </c>
      <c r="AX35" t="s">
        <v>226</v>
      </c>
      <c r="AZ35" t="s">
        <v>923</v>
      </c>
      <c r="BF35" t="s">
        <v>721</v>
      </c>
    </row>
    <row r="36" spans="5:58" ht="20.100000000000001" customHeight="1">
      <c r="E36" s="130" t="s">
        <v>52</v>
      </c>
      <c r="F36" s="278" t="s">
        <v>53</v>
      </c>
      <c r="H36" s="153"/>
      <c r="I36" s="153"/>
      <c r="J36" s="153"/>
      <c r="K36" s="153"/>
      <c r="L36" s="218" t="str">
        <f t="shared" si="8"/>
        <v/>
      </c>
      <c r="M36" s="243" t="str">
        <f>+IFERROR(IF(COUNT(L36),ROUND(L36/'Shareholding Pattern'!$L$57*100,2),""),"")</f>
        <v/>
      </c>
      <c r="N36" s="363" t="str">
        <f t="shared" si="9"/>
        <v/>
      </c>
      <c r="O36" s="153"/>
      <c r="P36" s="131" t="str">
        <f t="shared" si="10"/>
        <v/>
      </c>
      <c r="Q36" s="208" t="str">
        <f>+IFERROR(IF(COUNT(P36),ROUND(P36/'Shareholding Pattern'!$P$58*100,2),""),"")</f>
        <v/>
      </c>
      <c r="R36" s="153"/>
      <c r="S36" s="153"/>
      <c r="T36" s="131" t="str">
        <f t="shared" si="11"/>
        <v/>
      </c>
      <c r="U36" s="244" t="str">
        <f>+IFERROR(IF(COUNT(L36,T36),ROUND(SUM(L36,T36)/SUM('Shareholding Pattern'!$L$57,'Shareholding Pattern'!$T$57)*100,2),""),"")</f>
        <v/>
      </c>
      <c r="V36" s="153"/>
      <c r="W36" s="212" t="str">
        <f t="shared" si="7"/>
        <v/>
      </c>
      <c r="X36" s="454"/>
      <c r="Y36" s="455"/>
      <c r="Z36" s="153"/>
      <c r="AR36" t="s">
        <v>203</v>
      </c>
      <c r="AX36" t="s">
        <v>523</v>
      </c>
      <c r="AZ36" t="s">
        <v>247</v>
      </c>
      <c r="BF36" t="s">
        <v>734</v>
      </c>
    </row>
    <row r="37" spans="5:58" ht="20.100000000000001" customHeight="1">
      <c r="E37" s="130" t="s">
        <v>54</v>
      </c>
      <c r="F37" s="278" t="s">
        <v>55</v>
      </c>
      <c r="H37" s="153"/>
      <c r="I37" s="153"/>
      <c r="J37" s="153"/>
      <c r="K37" s="153"/>
      <c r="L37" s="218" t="str">
        <f t="shared" si="8"/>
        <v/>
      </c>
      <c r="M37" s="243" t="str">
        <f>+IFERROR(IF(COUNT(L37),ROUND(L37/'Shareholding Pattern'!$L$57*100,2),""),"")</f>
        <v/>
      </c>
      <c r="N37" s="363" t="str">
        <f t="shared" si="9"/>
        <v/>
      </c>
      <c r="O37" s="153"/>
      <c r="P37" s="131" t="str">
        <f t="shared" si="10"/>
        <v/>
      </c>
      <c r="Q37" s="208" t="str">
        <f>+IFERROR(IF(COUNT(P37),ROUND(P37/'Shareholding Pattern'!$P$58*100,2),""),"")</f>
        <v/>
      </c>
      <c r="R37" s="153"/>
      <c r="S37" s="153"/>
      <c r="T37" s="131" t="str">
        <f t="shared" si="11"/>
        <v/>
      </c>
      <c r="U37" s="244" t="str">
        <f>+IFERROR(IF(COUNT(L37,T37),ROUND(SUM(L37,T37)/SUM('Shareholding Pattern'!$L$57,'Shareholding Pattern'!$T$57)*100,2),""),"")</f>
        <v/>
      </c>
      <c r="V37" s="153"/>
      <c r="W37" s="212" t="str">
        <f t="shared" si="7"/>
        <v/>
      </c>
      <c r="X37" s="454"/>
      <c r="Y37" s="455"/>
      <c r="Z37" s="153"/>
      <c r="AR37" t="s">
        <v>204</v>
      </c>
      <c r="AX37" t="s">
        <v>227</v>
      </c>
      <c r="AZ37" t="s">
        <v>248</v>
      </c>
      <c r="BF37" t="s">
        <v>818</v>
      </c>
    </row>
    <row r="38" spans="5:58" ht="20.100000000000001" customHeight="1">
      <c r="E38" s="136" t="s">
        <v>56</v>
      </c>
      <c r="F38" s="280" t="s">
        <v>33</v>
      </c>
      <c r="H38" s="153"/>
      <c r="I38" s="153"/>
      <c r="J38" s="153"/>
      <c r="K38" s="153"/>
      <c r="L38" s="245" t="str">
        <f t="shared" si="8"/>
        <v/>
      </c>
      <c r="M38" s="289" t="str">
        <f>+IFERROR(IF(COUNT(L38),ROUND(L38/'Shareholding Pattern'!$L$57*100,2),""),"")</f>
        <v/>
      </c>
      <c r="N38" s="363" t="str">
        <f t="shared" si="9"/>
        <v/>
      </c>
      <c r="O38" s="153"/>
      <c r="P38" s="137" t="str">
        <f t="shared" si="10"/>
        <v/>
      </c>
      <c r="Q38" s="246" t="str">
        <f>+IFERROR(IF(COUNT(P38),ROUND(P38/'Shareholding Pattern'!$P$58*100,2),""),"")</f>
        <v/>
      </c>
      <c r="R38" s="153"/>
      <c r="S38" s="153"/>
      <c r="T38" s="137" t="str">
        <f t="shared" si="11"/>
        <v/>
      </c>
      <c r="U38" s="247" t="str">
        <f>+IFERROR(IF(COUNT(L38,T38),ROUND(SUM(L38,T38)/SUM('Shareholding Pattern'!$L$57,'Shareholding Pattern'!$T$57)*100,2),""),"")</f>
        <v/>
      </c>
      <c r="V38" s="153"/>
      <c r="W38" s="212" t="str">
        <f t="shared" si="7"/>
        <v/>
      </c>
      <c r="X38" s="454"/>
      <c r="Y38" s="455"/>
      <c r="Z38" s="153"/>
      <c r="AR38" t="s">
        <v>205</v>
      </c>
      <c r="AX38" t="s">
        <v>524</v>
      </c>
      <c r="AZ38" t="s">
        <v>249</v>
      </c>
      <c r="BF38" t="s">
        <v>831</v>
      </c>
    </row>
    <row r="39" spans="5:58" ht="20.100000000000001" customHeight="1">
      <c r="E39" s="449" t="s">
        <v>57</v>
      </c>
      <c r="F39" s="449"/>
      <c r="G39" s="449"/>
      <c r="H39" s="4" t="str">
        <f t="shared" ref="H39:Z39" si="12">+IFERROR(IF(COUNT(H30:H38),ROUND(SUM(H30:H38),0),""),"")</f>
        <v/>
      </c>
      <c r="I39" s="4" t="str">
        <f t="shared" si="12"/>
        <v/>
      </c>
      <c r="J39" s="4" t="str">
        <f t="shared" si="12"/>
        <v/>
      </c>
      <c r="K39" s="77" t="str">
        <f t="shared" si="12"/>
        <v/>
      </c>
      <c r="L39" s="77" t="str">
        <f t="shared" si="8"/>
        <v/>
      </c>
      <c r="M39" s="202" t="str">
        <f>+IFERROR(IF(COUNT(L39),ROUND(L39/'Shareholding Pattern'!$L$57*100,2),""),"")</f>
        <v/>
      </c>
      <c r="N39" s="202" t="str">
        <f t="shared" si="12"/>
        <v/>
      </c>
      <c r="O39" s="202" t="str">
        <f t="shared" si="12"/>
        <v/>
      </c>
      <c r="P39" s="4" t="str">
        <f t="shared" si="12"/>
        <v/>
      </c>
      <c r="Q39" s="209" t="str">
        <f>+IFERROR(IF(COUNT(P39),ROUND(P39/'Shareholding Pattern'!$P$58*100,2),""),"")</f>
        <v/>
      </c>
      <c r="R39" s="4" t="str">
        <f t="shared" si="12"/>
        <v/>
      </c>
      <c r="S39" s="4" t="str">
        <f t="shared" si="12"/>
        <v/>
      </c>
      <c r="T39" s="4" t="str">
        <f t="shared" si="12"/>
        <v/>
      </c>
      <c r="U39" s="184" t="str">
        <f>+IFERROR(IF(COUNT(L39,T39),ROUND(SUM(L39,T39)/SUM('Shareholding Pattern'!$L$57,'Shareholding Pattern'!$T$57)*100,2),""),"")</f>
        <v/>
      </c>
      <c r="V39" s="77" t="str">
        <f t="shared" si="12"/>
        <v/>
      </c>
      <c r="W39" s="214" t="str">
        <f t="shared" si="7"/>
        <v/>
      </c>
      <c r="X39" s="454"/>
      <c r="Y39" s="455"/>
      <c r="Z39" s="4" t="str">
        <f t="shared" si="12"/>
        <v/>
      </c>
      <c r="AR39" t="s">
        <v>206</v>
      </c>
      <c r="AX39" t="s">
        <v>525</v>
      </c>
      <c r="AZ39" t="s">
        <v>925</v>
      </c>
      <c r="BF39" t="s">
        <v>846</v>
      </c>
    </row>
    <row r="40" spans="5:58" ht="37.5" customHeight="1">
      <c r="E40" s="185" t="s">
        <v>60</v>
      </c>
      <c r="F40" s="273" t="s">
        <v>61</v>
      </c>
      <c r="G40" s="268"/>
      <c r="H40" s="153"/>
      <c r="I40" s="153"/>
      <c r="J40" s="153"/>
      <c r="K40" s="153"/>
      <c r="L40" s="248" t="str">
        <f>+IFERROR(IF(COUNT(I40:K40),ROUND(SUM(I40:K40),0),""),"")</f>
        <v/>
      </c>
      <c r="M40" s="249" t="str">
        <f>+IFERROR(IF(COUNT(L40),ROUND(L40/'Shareholding Pattern'!$L$57*100,2),""),"")</f>
        <v/>
      </c>
      <c r="N40" s="363" t="str">
        <f>IF(I40="","",I40)</f>
        <v/>
      </c>
      <c r="O40" s="153"/>
      <c r="P40" s="250" t="str">
        <f t="shared" ref="P40" si="13">+IFERROR(IF(COUNT(N40:O40),ROUND(SUM(N40:O40),0),""),"")</f>
        <v/>
      </c>
      <c r="Q40" s="250" t="str">
        <f>+IFERROR(IF(COUNT(P40),ROUND(P40/'Shareholding Pattern'!$P$58*100,2),""),"")</f>
        <v/>
      </c>
      <c r="R40" s="153"/>
      <c r="S40" s="153"/>
      <c r="T40" s="250" t="str">
        <f t="shared" ref="T40" si="14">+IFERROR(IF(COUNT(R40:S40),ROUND(SUM(R40:S40),0),""),"")</f>
        <v/>
      </c>
      <c r="U40" s="251" t="str">
        <f>+IFERROR(IF(COUNT(L40,T40),ROUND(SUM(L40,T40)/SUM('Shareholding Pattern'!$L$57,'Shareholding Pattern'!$T$57)*100,2),""),"")</f>
        <v/>
      </c>
      <c r="V40" s="330"/>
      <c r="W40" s="318" t="str">
        <f t="shared" si="7"/>
        <v/>
      </c>
      <c r="X40" s="454"/>
      <c r="Y40" s="455"/>
      <c r="Z40" s="330"/>
      <c r="AR40" t="s">
        <v>207</v>
      </c>
      <c r="AX40" t="s">
        <v>228</v>
      </c>
      <c r="AZ40" t="s">
        <v>250</v>
      </c>
      <c r="BF40" t="s">
        <v>864</v>
      </c>
    </row>
    <row r="41" spans="5:58" ht="20.100000000000001" customHeight="1">
      <c r="E41" s="449" t="s">
        <v>62</v>
      </c>
      <c r="F41" s="449"/>
      <c r="G41" s="449"/>
      <c r="H41" s="1" t="str">
        <f>+IF(COUNT(H40),SUM(H40),"")</f>
        <v/>
      </c>
      <c r="I41" s="1" t="str">
        <f t="shared" ref="I41:V41" si="15">+IF(COUNT(I40),SUM(I40),"")</f>
        <v/>
      </c>
      <c r="J41" s="1" t="str">
        <f t="shared" si="15"/>
        <v/>
      </c>
      <c r="K41" s="1" t="str">
        <f t="shared" si="15"/>
        <v/>
      </c>
      <c r="L41" s="57" t="str">
        <f t="shared" si="15"/>
        <v/>
      </c>
      <c r="M41" s="202" t="str">
        <f>+IFERROR(IF(COUNT(L41),ROUND(L41/'Shareholding Pattern'!$L$57*100,2),""),"")</f>
        <v/>
      </c>
      <c r="N41" s="37" t="str">
        <f t="shared" si="15"/>
        <v/>
      </c>
      <c r="O41" s="37" t="str">
        <f t="shared" si="15"/>
        <v/>
      </c>
      <c r="P41" s="1" t="str">
        <f t="shared" si="15"/>
        <v/>
      </c>
      <c r="Q41" s="210" t="str">
        <f>+IFERROR(IF(COUNT(P41),ROUND(P41/'Shareholding Pattern'!$P$58*100,2),""),"")</f>
        <v/>
      </c>
      <c r="R41" s="1" t="str">
        <f t="shared" si="15"/>
        <v/>
      </c>
      <c r="S41" s="1" t="str">
        <f t="shared" si="15"/>
        <v/>
      </c>
      <c r="T41" s="1" t="str">
        <f t="shared" si="15"/>
        <v/>
      </c>
      <c r="U41" s="184" t="str">
        <f>+IFERROR(IF(COUNT(L41,T41),ROUND(SUM(L41,T41)/SUM('Shareholding Pattern'!$L$57,'Shareholding Pattern'!$T$57)*100,2),""),"")</f>
        <v/>
      </c>
      <c r="V41" s="57" t="str">
        <f t="shared" si="15"/>
        <v/>
      </c>
      <c r="W41" s="214" t="str">
        <f t="shared" si="7"/>
        <v/>
      </c>
      <c r="X41" s="454"/>
      <c r="Y41" s="455"/>
      <c r="Z41" s="1" t="str">
        <f t="shared" ref="Z41" si="16">+IF(COUNT(Z40),SUM(Z40),"")</f>
        <v/>
      </c>
      <c r="AR41" t="s">
        <v>966</v>
      </c>
    </row>
    <row r="42" spans="5:58" ht="20.100000000000001" customHeight="1">
      <c r="E42" s="134" t="s">
        <v>63</v>
      </c>
      <c r="F42" s="275" t="s">
        <v>64</v>
      </c>
      <c r="G42" s="186"/>
      <c r="H42" s="186"/>
      <c r="I42" s="186"/>
      <c r="J42" s="186"/>
      <c r="K42" s="186"/>
      <c r="L42" s="186"/>
      <c r="M42" s="187"/>
      <c r="N42" s="188"/>
      <c r="O42" s="188"/>
      <c r="P42" s="186"/>
      <c r="Q42" s="187"/>
      <c r="R42" s="186"/>
      <c r="S42" s="186"/>
      <c r="T42" s="186"/>
      <c r="U42" s="186"/>
      <c r="V42" s="188"/>
      <c r="W42" s="189"/>
      <c r="X42" s="454"/>
      <c r="Y42" s="455"/>
      <c r="Z42" s="190"/>
    </row>
    <row r="43" spans="5:58" ht="51.75" customHeight="1">
      <c r="E43" s="170" t="s">
        <v>76</v>
      </c>
      <c r="F43" s="276" t="s">
        <v>65</v>
      </c>
      <c r="H43" s="153">
        <v>377</v>
      </c>
      <c r="I43" s="153">
        <v>1225244</v>
      </c>
      <c r="J43" s="153"/>
      <c r="K43" s="153"/>
      <c r="L43" s="252">
        <v>1225244</v>
      </c>
      <c r="M43" s="253">
        <f>+IFERROR(IF(COUNT(L43),ROUND(L43/'Shareholding Pattern'!$L$57*100,2),""),"")</f>
        <v>18.920000000000002</v>
      </c>
      <c r="N43" s="363">
        <v>1225244</v>
      </c>
      <c r="O43" s="153"/>
      <c r="P43" s="254">
        <v>1225244</v>
      </c>
      <c r="Q43" s="206">
        <f>+IFERROR(IF(COUNT(P43),ROUND(P43/'Shareholding Pattern'!$P$58*100,2),""),"")</f>
        <v>18.920000000000002</v>
      </c>
      <c r="R43" s="153"/>
      <c r="S43" s="153"/>
      <c r="T43" s="254" t="str">
        <f>+IFERROR(IF(COUNT(R43:S43),ROUND(SUM(R43:S43),0),""),"")</f>
        <v/>
      </c>
      <c r="U43" s="255">
        <f>+IFERROR(IF(COUNT(L43,T43),ROUND(SUM(L43,T43)/SUM('Shareholding Pattern'!$L$57,'Shareholding Pattern'!$T$57)*100,2),""),"")</f>
        <v>18.920000000000002</v>
      </c>
      <c r="V43" s="331">
        <v>0</v>
      </c>
      <c r="W43" s="212">
        <f t="shared" ref="W43:W50" si="17">+IFERROR(IF(COUNT(V43),ROUND(SUM(V43)/SUM(L43)*100,2),""),0)</f>
        <v>0</v>
      </c>
      <c r="X43" s="454"/>
      <c r="Y43" s="455"/>
      <c r="Z43" s="153">
        <v>775444</v>
      </c>
      <c r="AR43" t="s">
        <v>208</v>
      </c>
    </row>
    <row r="44" spans="5:58" ht="43.5" customHeight="1">
      <c r="E44" s="170" t="s">
        <v>77</v>
      </c>
      <c r="F44" s="277" t="s">
        <v>66</v>
      </c>
      <c r="H44" s="153">
        <v>56</v>
      </c>
      <c r="I44" s="153">
        <v>2679428</v>
      </c>
      <c r="J44" s="153"/>
      <c r="K44" s="153"/>
      <c r="L44" s="252">
        <v>2679428</v>
      </c>
      <c r="M44" s="253">
        <f>+IFERROR(IF(COUNT(L44),ROUND(L44/'Shareholding Pattern'!$L$57*100,2),""),"")</f>
        <v>41.38</v>
      </c>
      <c r="N44" s="363">
        <v>2679428</v>
      </c>
      <c r="O44" s="153"/>
      <c r="P44" s="254">
        <v>2679428</v>
      </c>
      <c r="Q44" s="206">
        <f>+IFERROR(IF(COUNT(P44),ROUND(P44/'Shareholding Pattern'!$P$58*100,2),""),"")</f>
        <v>41.38</v>
      </c>
      <c r="R44" s="153"/>
      <c r="S44" s="153"/>
      <c r="T44" s="254" t="str">
        <f t="shared" ref="T44:T50" si="18">+IFERROR(IF(COUNT(R44:S44),ROUND(SUM(R44:S44),0),""),"")</f>
        <v/>
      </c>
      <c r="U44" s="255">
        <f>+IFERROR(IF(COUNT(L44,T44),ROUND(SUM(L44,T44)/SUM('Shareholding Pattern'!$L$57,'Shareholding Pattern'!$T$57)*100,2),""),"")</f>
        <v>41.38</v>
      </c>
      <c r="V44" s="331">
        <v>0</v>
      </c>
      <c r="W44" s="212">
        <f t="shared" si="17"/>
        <v>0</v>
      </c>
      <c r="X44" s="454"/>
      <c r="Y44" s="455"/>
      <c r="Z44" s="153">
        <v>961628</v>
      </c>
      <c r="AR44" t="s">
        <v>209</v>
      </c>
    </row>
    <row r="45" spans="5:58" ht="20.100000000000001" customHeight="1">
      <c r="E45" s="170" t="s">
        <v>28</v>
      </c>
      <c r="F45" s="278" t="s">
        <v>67</v>
      </c>
      <c r="H45" s="153"/>
      <c r="I45" s="153"/>
      <c r="J45" s="153"/>
      <c r="K45" s="153"/>
      <c r="L45" s="252" t="str">
        <f t="shared" ref="L45:L50" si="19">+IFERROR(IF(COUNT(I45:K45),ROUND(SUM(I45:K45),0),""),"")</f>
        <v/>
      </c>
      <c r="M45" s="253" t="str">
        <f>+IFERROR(IF(COUNT(L45),ROUND(L45/'Shareholding Pattern'!$L$57*100,2),""),"")</f>
        <v/>
      </c>
      <c r="N45" s="363" t="str">
        <f t="shared" ref="N45:N47" si="20">IF(I45="","",I45)</f>
        <v/>
      </c>
      <c r="O45" s="153"/>
      <c r="P45" s="254" t="str">
        <f t="shared" ref="P45:P47" si="21">+IFERROR(IF(COUNT(N45:O45),ROUND(SUM(N45:O45),0),""),"")</f>
        <v/>
      </c>
      <c r="Q45" s="206" t="str">
        <f>+IFERROR(IF(COUNT(P45),ROUND(P45/'Shareholding Pattern'!$P$58*100,2),""),"")</f>
        <v/>
      </c>
      <c r="R45" s="153"/>
      <c r="S45" s="153"/>
      <c r="T45" s="254" t="str">
        <f t="shared" si="18"/>
        <v/>
      </c>
      <c r="U45" s="255" t="str">
        <f>+IFERROR(IF(COUNT(L45,T45),ROUND(SUM(L45,T45)/SUM('Shareholding Pattern'!$L$57,'Shareholding Pattern'!$T$57)*100,2),""),"")</f>
        <v/>
      </c>
      <c r="V45" s="331"/>
      <c r="W45" s="212" t="str">
        <f t="shared" si="17"/>
        <v/>
      </c>
      <c r="X45" s="454"/>
      <c r="Y45" s="455"/>
      <c r="Z45" s="153"/>
      <c r="AR45" t="s">
        <v>210</v>
      </c>
    </row>
    <row r="46" spans="5:58" ht="20.100000000000001" customHeight="1">
      <c r="E46" s="170" t="s">
        <v>30</v>
      </c>
      <c r="F46" s="278" t="s">
        <v>68</v>
      </c>
      <c r="H46" s="153"/>
      <c r="I46" s="153"/>
      <c r="J46" s="153"/>
      <c r="K46" s="153"/>
      <c r="L46" s="252" t="str">
        <f t="shared" si="19"/>
        <v/>
      </c>
      <c r="M46" s="253" t="str">
        <f>+IFERROR(IF(COUNT(L46),ROUND(L46/'Shareholding Pattern'!$L$57*100,2),""),"")</f>
        <v/>
      </c>
      <c r="N46" s="363" t="str">
        <f t="shared" si="20"/>
        <v/>
      </c>
      <c r="O46" s="153"/>
      <c r="P46" s="254" t="str">
        <f t="shared" si="21"/>
        <v/>
      </c>
      <c r="Q46" s="254" t="str">
        <f>+IFERROR(IF(COUNT(P46),ROUND(P46/'Shareholding Pattern'!$P$58*100,2),""),"")</f>
        <v/>
      </c>
      <c r="R46" s="153"/>
      <c r="S46" s="153"/>
      <c r="T46" s="254" t="str">
        <f t="shared" si="18"/>
        <v/>
      </c>
      <c r="U46" s="255" t="str">
        <f>+IFERROR(IF(COUNT(L46,T46),ROUND(SUM(L46,T46)/SUM('Shareholding Pattern'!$L$57,'Shareholding Pattern'!$T$57)*100,2),""),"")</f>
        <v/>
      </c>
      <c r="V46" s="331"/>
      <c r="W46" s="212" t="str">
        <f t="shared" si="17"/>
        <v/>
      </c>
      <c r="X46" s="454"/>
      <c r="Y46" s="455"/>
      <c r="Z46" s="153"/>
      <c r="AR46" t="s">
        <v>211</v>
      </c>
    </row>
    <row r="47" spans="5:58" ht="39" customHeight="1">
      <c r="E47" s="170" t="s">
        <v>32</v>
      </c>
      <c r="F47" s="279" t="s">
        <v>69</v>
      </c>
      <c r="H47" s="153"/>
      <c r="I47" s="153"/>
      <c r="J47" s="153"/>
      <c r="K47" s="153"/>
      <c r="L47" s="252" t="str">
        <f t="shared" si="19"/>
        <v/>
      </c>
      <c r="M47" s="253" t="str">
        <f>+IFERROR(IF(COUNT(L47),ROUND(L47/'Shareholding Pattern'!$L$57*100,2),""),"")</f>
        <v/>
      </c>
      <c r="N47" s="363" t="str">
        <f t="shared" si="20"/>
        <v/>
      </c>
      <c r="O47" s="153"/>
      <c r="P47" s="254" t="str">
        <f t="shared" si="21"/>
        <v/>
      </c>
      <c r="Q47" s="254" t="str">
        <f>+IFERROR(IF(COUNT(P47),ROUND(P47/'Shareholding Pattern'!$P$58*100,2),""),"")</f>
        <v/>
      </c>
      <c r="R47" s="153"/>
      <c r="S47" s="153"/>
      <c r="T47" s="254" t="str">
        <f t="shared" si="18"/>
        <v/>
      </c>
      <c r="U47" s="255" t="str">
        <f>+IFERROR(IF(COUNT(L47,T47),ROUND(SUM(L47,T47)/SUM('Shareholding Pattern'!$L$57,'Shareholding Pattern'!$T$57)*100,2),""),"")</f>
        <v/>
      </c>
      <c r="V47" s="153"/>
      <c r="W47" s="212" t="str">
        <f t="shared" si="17"/>
        <v/>
      </c>
      <c r="X47" s="454"/>
      <c r="Y47" s="455"/>
      <c r="Z47" s="153"/>
      <c r="AR47" t="s">
        <v>212</v>
      </c>
    </row>
    <row r="48" spans="5:58" ht="20.100000000000001" customHeight="1">
      <c r="E48" s="191" t="s">
        <v>42</v>
      </c>
      <c r="F48" s="280" t="s">
        <v>33</v>
      </c>
      <c r="H48" s="153">
        <v>81</v>
      </c>
      <c r="I48" s="153">
        <v>1533728</v>
      </c>
      <c r="J48" s="153"/>
      <c r="K48" s="153"/>
      <c r="L48" s="256">
        <v>1533728</v>
      </c>
      <c r="M48" s="257">
        <f>+IFERROR(IF(COUNT(L48),ROUND(L48/'Shareholding Pattern'!$L$57*100,2),""),"")</f>
        <v>23.69</v>
      </c>
      <c r="N48" s="363">
        <v>1533728</v>
      </c>
      <c r="O48" s="153"/>
      <c r="P48" s="258">
        <v>1533728</v>
      </c>
      <c r="Q48" s="259">
        <f>+IFERROR(IF(COUNT(P48),ROUND(P48/'Shareholding Pattern'!$P$58*100,2),""),"")</f>
        <v>23.69</v>
      </c>
      <c r="R48" s="153"/>
      <c r="S48" s="153"/>
      <c r="T48" s="258" t="str">
        <f t="shared" si="18"/>
        <v/>
      </c>
      <c r="U48" s="260">
        <f>+IFERROR(IF(COUNT(L48,T48),ROUND(SUM(L48,T48)/SUM('Shareholding Pattern'!$L$57,'Shareholding Pattern'!$T$57)*100,2),""),"")</f>
        <v>23.69</v>
      </c>
      <c r="V48" s="153">
        <v>0</v>
      </c>
      <c r="W48" s="261">
        <f t="shared" si="17"/>
        <v>0</v>
      </c>
      <c r="X48" s="454"/>
      <c r="Y48" s="455"/>
      <c r="Z48" s="153">
        <v>1429028</v>
      </c>
      <c r="AR48" t="s">
        <v>213</v>
      </c>
    </row>
    <row r="49" spans="5:44" ht="20.100000000000001" customHeight="1">
      <c r="E49" s="449" t="s">
        <v>70</v>
      </c>
      <c r="F49" s="449"/>
      <c r="G49" s="449"/>
      <c r="H49" s="193">
        <f>+IFERROR(IF(COUNT(H43:H48),ROUND(SUM(H43:H48),0),""),"")</f>
        <v>514</v>
      </c>
      <c r="I49" s="193">
        <f t="shared" ref="I49:V49" si="22">+IFERROR(IF(COUNT(I43:I48),ROUND(SUM(I43:I48),0),""),"")</f>
        <v>5438400</v>
      </c>
      <c r="J49" s="193" t="str">
        <f t="shared" si="22"/>
        <v/>
      </c>
      <c r="K49" s="193" t="str">
        <f t="shared" si="22"/>
        <v/>
      </c>
      <c r="L49" s="219">
        <f t="shared" si="19"/>
        <v>5438400</v>
      </c>
      <c r="M49" s="203">
        <f>+IFERROR(IF(COUNT(L49),ROUND(L49/'Shareholding Pattern'!$L$57*100,2),""),"")</f>
        <v>84</v>
      </c>
      <c r="N49" s="195">
        <f t="shared" si="22"/>
        <v>5438400</v>
      </c>
      <c r="O49" s="195" t="str">
        <f t="shared" si="22"/>
        <v/>
      </c>
      <c r="P49" s="194">
        <f t="shared" ref="P49" si="23">+IFERROR(IF(COUNT(N49:O49),ROUND(SUM(N49:O49),0),""),"")</f>
        <v>5438400</v>
      </c>
      <c r="Q49" s="207">
        <f>+IFERROR(IF(COUNT(P49),ROUND(P49/'Shareholding Pattern'!$P$58*100,2),""),"")</f>
        <v>84</v>
      </c>
      <c r="R49" s="193" t="str">
        <f>+IFERROR(IF(COUNT(R43:R48),ROUND(SUM(R43:R48),0),""),"")</f>
        <v/>
      </c>
      <c r="S49" s="193" t="str">
        <f t="shared" si="22"/>
        <v/>
      </c>
      <c r="T49" s="194" t="str">
        <f t="shared" ref="T49" si="24">+IFERROR(IF(COUNT(R49:S49),ROUND(SUM(R49:S49),0),""),"")</f>
        <v/>
      </c>
      <c r="U49" s="196">
        <f>+IFERROR(IF(COUNT(L49,T49),ROUND(SUM(L49,T49)/SUM('Shareholding Pattern'!$L$57,'Shareholding Pattern'!$T$57)*100,2),""),"")</f>
        <v>84</v>
      </c>
      <c r="V49" s="195">
        <f t="shared" si="22"/>
        <v>0</v>
      </c>
      <c r="W49" s="213">
        <f t="shared" si="17"/>
        <v>0</v>
      </c>
      <c r="X49" s="454"/>
      <c r="Y49" s="455"/>
      <c r="Z49" s="193">
        <f t="shared" ref="Z49" si="25">+IFERROR(IF(COUNT(Z43:Z48),ROUND(SUM(Z43:Z48),0),""),"")</f>
        <v>3166100</v>
      </c>
      <c r="AR49" t="s">
        <v>214</v>
      </c>
    </row>
    <row r="50" spans="5:44" ht="20.100000000000001" customHeight="1">
      <c r="E50" s="448" t="s">
        <v>106</v>
      </c>
      <c r="F50" s="448"/>
      <c r="G50" s="448"/>
      <c r="H50" s="193">
        <f>+IFERROR(IF(COUNT(H39,H41,H49),ROUND(SUM(H39,H41,H49),0),""),"")</f>
        <v>514</v>
      </c>
      <c r="I50" s="193">
        <f t="shared" ref="I50:V50" si="26">+IFERROR(IF(COUNT(I39,I41,I49),ROUND(SUM(I39,I41,I49),0),""),"")</f>
        <v>5438400</v>
      </c>
      <c r="J50" s="193" t="str">
        <f t="shared" si="26"/>
        <v/>
      </c>
      <c r="K50" s="220" t="str">
        <f t="shared" si="26"/>
        <v/>
      </c>
      <c r="L50" s="219">
        <f t="shared" si="19"/>
        <v>5438400</v>
      </c>
      <c r="M50" s="203">
        <f>+IFERROR(IF(COUNT(L50),ROUND(L50/'Shareholding Pattern'!$L$57*100,2),""),"")</f>
        <v>84</v>
      </c>
      <c r="N50" s="195">
        <f t="shared" si="26"/>
        <v>5438400</v>
      </c>
      <c r="O50" s="195" t="str">
        <f t="shared" si="26"/>
        <v/>
      </c>
      <c r="P50" s="193">
        <f t="shared" si="26"/>
        <v>5438400</v>
      </c>
      <c r="Q50" s="207">
        <f>+IFERROR(IF(COUNT(P50),ROUND(P50/'Shareholding Pattern'!$P$58*100,2),""),"")</f>
        <v>84</v>
      </c>
      <c r="R50" s="193" t="str">
        <f>+IFERROR(IF(COUNT(R39,R40,R49),ROUND(SUM(R39,R40,R49),0),""),"")</f>
        <v/>
      </c>
      <c r="S50" s="193" t="str">
        <f>+IFERROR(IF(COUNT(S39,S40,S49),ROUND(SUM(S39,S40,S49),0),""),"")</f>
        <v/>
      </c>
      <c r="T50" s="197" t="str">
        <f t="shared" si="18"/>
        <v/>
      </c>
      <c r="U50" s="196">
        <f>+IFERROR(IF(COUNT(L50,T50),ROUND(SUM(L50,T50)/SUM('Shareholding Pattern'!$L$57,'Shareholding Pattern'!$T$57)*100,2),""),"")</f>
        <v>84</v>
      </c>
      <c r="V50" s="195">
        <f t="shared" si="26"/>
        <v>0</v>
      </c>
      <c r="W50" s="213">
        <f t="shared" si="17"/>
        <v>0</v>
      </c>
      <c r="X50" s="456"/>
      <c r="Y50" s="457"/>
      <c r="Z50" s="193">
        <f t="shared" ref="Z50" si="27">+IFERROR(IF(COUNT(Z39,Z41,Z49),ROUND(SUM(Z39,Z41,Z49),0),""),"")</f>
        <v>3166100</v>
      </c>
      <c r="AR50" t="s">
        <v>215</v>
      </c>
    </row>
    <row r="51" spans="5:44" ht="34.5" customHeight="1">
      <c r="E51" s="192"/>
      <c r="F51" s="286" t="s">
        <v>963</v>
      </c>
      <c r="G51" s="283"/>
      <c r="H51" s="283"/>
      <c r="I51" s="283"/>
      <c r="J51" s="283"/>
      <c r="K51" s="283"/>
      <c r="L51" s="283"/>
      <c r="M51" s="283"/>
      <c r="N51" s="283"/>
      <c r="O51" s="283"/>
      <c r="P51" s="283"/>
      <c r="Q51" s="283"/>
      <c r="R51" s="283"/>
      <c r="S51" s="283"/>
      <c r="T51" s="283"/>
      <c r="U51" s="283"/>
      <c r="V51" s="283"/>
      <c r="W51" s="283"/>
      <c r="X51" s="283"/>
      <c r="Y51" s="283"/>
      <c r="Z51" s="284"/>
    </row>
    <row r="52" spans="5:44" ht="42" customHeight="1">
      <c r="E52" s="152"/>
      <c r="F52" s="274" t="s">
        <v>964</v>
      </c>
      <c r="M52"/>
      <c r="N52"/>
      <c r="O52"/>
      <c r="Q52"/>
      <c r="U52"/>
      <c r="V52"/>
      <c r="W52"/>
      <c r="X52"/>
      <c r="Y52"/>
      <c r="Z52" s="285"/>
    </row>
    <row r="53" spans="5:44" ht="34.5" customHeight="1">
      <c r="E53" s="138" t="s">
        <v>58</v>
      </c>
      <c r="F53" s="486" t="s">
        <v>59</v>
      </c>
      <c r="G53" s="487"/>
      <c r="H53" s="487"/>
      <c r="I53" s="487"/>
      <c r="J53" s="487"/>
      <c r="K53" s="487"/>
      <c r="L53" s="487"/>
      <c r="M53" s="487"/>
      <c r="N53" s="487"/>
      <c r="O53" s="487"/>
      <c r="P53" s="487"/>
      <c r="Q53" s="487"/>
      <c r="R53" s="487"/>
      <c r="S53" s="487"/>
      <c r="T53" s="487"/>
      <c r="U53" s="487"/>
      <c r="V53" s="487"/>
      <c r="W53" s="487"/>
      <c r="X53" s="487"/>
      <c r="Y53" s="487"/>
      <c r="Z53" s="488"/>
    </row>
    <row r="54" spans="5:44" ht="33" customHeight="1">
      <c r="E54" s="139" t="s">
        <v>78</v>
      </c>
      <c r="F54" s="282" t="s">
        <v>71</v>
      </c>
      <c r="H54" s="153"/>
      <c r="I54" s="153"/>
      <c r="J54" s="153"/>
      <c r="K54" s="153"/>
      <c r="L54" s="252" t="str">
        <f>+IFERROR(IF(COUNT(I54:K54),ROUND(SUM(I54:K54),2),""),"")</f>
        <v/>
      </c>
      <c r="M54" s="204"/>
      <c r="N54" s="363" t="str">
        <f t="shared" ref="N54:N55" si="28">IF(I54="","",I54)</f>
        <v/>
      </c>
      <c r="O54" s="153"/>
      <c r="P54" s="254" t="str">
        <f>+IFERROR(IF(COUNT(N54:O54),ROUND(SUM(N54:O54),2),""),"")</f>
        <v/>
      </c>
      <c r="Q54" s="206" t="str">
        <f>+IFERROR(IF(COUNT(P54),ROUND(P54/'Shareholding Pattern'!$P$58*100,2),""),"")</f>
        <v/>
      </c>
      <c r="R54" s="153"/>
      <c r="S54" s="153"/>
      <c r="T54" s="254" t="str">
        <f>+IFERROR(IF(COUNT(R54:S54),ROUND(SUM(R54:S54),2),""),"")</f>
        <v/>
      </c>
      <c r="U54" s="178"/>
      <c r="V54" s="332"/>
      <c r="W54" s="212" t="str">
        <f t="shared" ref="W54:W58" si="29">+IFERROR(IF(COUNT(V54),ROUND(SUM(V54)/SUM(L54)*100,2),""),0)</f>
        <v/>
      </c>
      <c r="X54" s="469"/>
      <c r="Y54" s="470"/>
      <c r="Z54" s="153"/>
      <c r="AR54" t="s">
        <v>216</v>
      </c>
    </row>
    <row r="55" spans="5:44" ht="33.75" customHeight="1">
      <c r="E55" s="139" t="s">
        <v>60</v>
      </c>
      <c r="F55" s="282" t="s">
        <v>72</v>
      </c>
      <c r="H55" s="153"/>
      <c r="I55" s="153"/>
      <c r="J55" s="153"/>
      <c r="K55" s="153"/>
      <c r="L55" s="252" t="str">
        <f>+IFERROR(IF(COUNT(I55:K55),ROUND(SUM(I55:K55),2),""),"")</f>
        <v/>
      </c>
      <c r="M55" s="262" t="str">
        <f>+IFERROR(IF(COUNT(L55),ROUND(L55/'Shareholding Pattern'!$L$57*100,2),""),"")</f>
        <v/>
      </c>
      <c r="N55" s="363" t="str">
        <f t="shared" si="28"/>
        <v/>
      </c>
      <c r="O55" s="153"/>
      <c r="P55" s="254" t="str">
        <f>+IFERROR(IF(COUNT(N55:O55),ROUND(SUM(N55:O55),2),""),"")</f>
        <v/>
      </c>
      <c r="Q55" s="206" t="str">
        <f>+IFERROR(IF(COUNT(P55),ROUND(P55/'Shareholding Pattern'!$P$58*100,2),""),"")</f>
        <v/>
      </c>
      <c r="R55" s="153"/>
      <c r="S55" s="153"/>
      <c r="T55" s="254" t="str">
        <f>+IFERROR(IF(COUNT(R55:S55),ROUND(SUM(R55:S55),2),""),"")</f>
        <v/>
      </c>
      <c r="U55" s="172" t="str">
        <f>+IFERROR(IF(COUNT(L55,T55),ROUND(SUM(L55,T55)/SUM('Shareholding Pattern'!$L$57,'Shareholding Pattern'!$T$57)*100,2),""),"")</f>
        <v/>
      </c>
      <c r="V55" s="332"/>
      <c r="W55" s="212" t="str">
        <f t="shared" si="29"/>
        <v/>
      </c>
      <c r="X55" s="471"/>
      <c r="Y55" s="472"/>
      <c r="Z55" s="153"/>
      <c r="AR55" t="s">
        <v>217</v>
      </c>
    </row>
    <row r="56" spans="5:44" ht="31.5" customHeight="1">
      <c r="E56" s="450" t="s">
        <v>73</v>
      </c>
      <c r="F56" s="450"/>
      <c r="G56" s="450"/>
      <c r="H56" s="173" t="str">
        <f>IFERROR(IF(COUNT(H54:H55),ROUND(SUM(H54:H55),0),""),"")</f>
        <v/>
      </c>
      <c r="I56" s="173" t="str">
        <f t="shared" ref="I56:Z56" si="30">IFERROR(IF(COUNT(I54:I55),ROUND(SUM(I54:I55),0),""),"")</f>
        <v/>
      </c>
      <c r="J56" s="173" t="str">
        <f t="shared" si="30"/>
        <v/>
      </c>
      <c r="K56" s="173" t="str">
        <f t="shared" si="30"/>
        <v/>
      </c>
      <c r="L56" s="173" t="str">
        <f t="shared" si="30"/>
        <v/>
      </c>
      <c r="M56" s="204"/>
      <c r="N56" s="174" t="str">
        <f t="shared" si="30"/>
        <v/>
      </c>
      <c r="O56" s="174" t="str">
        <f t="shared" si="30"/>
        <v/>
      </c>
      <c r="P56" s="175" t="str">
        <f t="shared" si="30"/>
        <v/>
      </c>
      <c r="Q56" s="206" t="str">
        <f>+IFERROR(IF(COUNT(P56),ROUND(P56/'Shareholding Pattern'!$P$58*100,2),""),"")</f>
        <v/>
      </c>
      <c r="R56" s="171" t="str">
        <f t="shared" si="30"/>
        <v/>
      </c>
      <c r="S56" s="171" t="str">
        <f t="shared" si="30"/>
        <v/>
      </c>
      <c r="T56" s="171" t="str">
        <f t="shared" si="30"/>
        <v/>
      </c>
      <c r="U56" s="178"/>
      <c r="V56" s="173" t="str">
        <f t="shared" si="30"/>
        <v/>
      </c>
      <c r="W56" s="212" t="str">
        <f t="shared" si="29"/>
        <v/>
      </c>
      <c r="X56" s="471"/>
      <c r="Y56" s="472"/>
      <c r="Z56" s="171" t="str">
        <f t="shared" si="30"/>
        <v/>
      </c>
      <c r="AR56" t="s">
        <v>218</v>
      </c>
    </row>
    <row r="57" spans="5:44" ht="26.25" customHeight="1">
      <c r="E57" s="451" t="s">
        <v>74</v>
      </c>
      <c r="F57" s="451"/>
      <c r="G57" s="451"/>
      <c r="H57" s="173">
        <f t="shared" ref="H57:Z57" si="31">+IFERROR(IF(COUNT(H26,H50,H55),ROUND(SUM(H26,H50,H55),0),""),"")</f>
        <v>520</v>
      </c>
      <c r="I57" s="173">
        <f t="shared" si="31"/>
        <v>6474600</v>
      </c>
      <c r="J57" s="173" t="str">
        <f t="shared" si="31"/>
        <v/>
      </c>
      <c r="K57" s="173" t="str">
        <f t="shared" si="31"/>
        <v/>
      </c>
      <c r="L57" s="173">
        <f t="shared" si="31"/>
        <v>6474600</v>
      </c>
      <c r="M57" s="205">
        <f>+IFERROR(IF(COUNT(L57),ROUND(L57/'Shareholding Pattern'!$L$57*100,2),""),"")</f>
        <v>100</v>
      </c>
      <c r="N57" s="177">
        <f t="shared" si="31"/>
        <v>6474600</v>
      </c>
      <c r="O57" s="177" t="str">
        <f t="shared" si="31"/>
        <v/>
      </c>
      <c r="P57" s="173">
        <f t="shared" si="31"/>
        <v>6474600</v>
      </c>
      <c r="Q57" s="206">
        <f>+IFERROR(IF(COUNT(P57),ROUND(P57/'Shareholding Pattern'!$P$58*100,2),""),"")</f>
        <v>100</v>
      </c>
      <c r="R57" s="173" t="str">
        <f t="shared" si="31"/>
        <v/>
      </c>
      <c r="S57" s="173" t="str">
        <f t="shared" si="31"/>
        <v/>
      </c>
      <c r="T57" s="173" t="str">
        <f t="shared" si="31"/>
        <v/>
      </c>
      <c r="U57" s="176">
        <f>+IFERROR(IF(COUNT(L57,T57),ROUND(SUM(L57,T57)/SUM('Shareholding Pattern'!$L$57,'Shareholding Pattern'!$T$57)*100,2),""),"")</f>
        <v>100</v>
      </c>
      <c r="V57" s="173">
        <f t="shared" si="31"/>
        <v>1036200</v>
      </c>
      <c r="W57" s="212">
        <f t="shared" si="29"/>
        <v>16</v>
      </c>
      <c r="X57" s="473"/>
      <c r="Y57" s="474"/>
      <c r="Z57" s="171">
        <f t="shared" si="31"/>
        <v>4202300</v>
      </c>
    </row>
    <row r="58" spans="5:44" ht="22.5" customHeight="1">
      <c r="E58" s="451" t="s">
        <v>75</v>
      </c>
      <c r="F58" s="451"/>
      <c r="G58" s="451"/>
      <c r="H58" s="173">
        <f t="shared" ref="H58:Z58" si="32">+IFERROR(IF(COUNT(H26,H50,H56),ROUND(SUM(H26,H50,H56),0),""),"")</f>
        <v>520</v>
      </c>
      <c r="I58" s="173">
        <f t="shared" si="32"/>
        <v>6474600</v>
      </c>
      <c r="J58" s="173" t="str">
        <f t="shared" si="32"/>
        <v/>
      </c>
      <c r="K58" s="173" t="str">
        <f t="shared" si="32"/>
        <v/>
      </c>
      <c r="L58" s="173">
        <f t="shared" si="32"/>
        <v>6474600</v>
      </c>
      <c r="M58" s="326">
        <f>+IFERROR(IF(COUNT(L57),ROUND(L57/'Shareholding Pattern'!$L$57*100,2),""),"")</f>
        <v>100</v>
      </c>
      <c r="N58" s="177">
        <f t="shared" si="32"/>
        <v>6474600</v>
      </c>
      <c r="O58" s="177" t="str">
        <f t="shared" si="32"/>
        <v/>
      </c>
      <c r="P58" s="173">
        <f t="shared" si="32"/>
        <v>6474600</v>
      </c>
      <c r="Q58" s="206">
        <f>+IFERROR(IF(COUNT(P58),ROUND(P58/'Shareholding Pattern'!$P$58*100,2),""),"")</f>
        <v>100</v>
      </c>
      <c r="R58" s="173" t="str">
        <f t="shared" si="32"/>
        <v/>
      </c>
      <c r="S58" s="171" t="str">
        <f t="shared" si="32"/>
        <v/>
      </c>
      <c r="T58" s="173" t="str">
        <f t="shared" si="32"/>
        <v/>
      </c>
      <c r="U58" s="327">
        <f t="shared" si="32"/>
        <v>100</v>
      </c>
      <c r="V58" s="173">
        <f t="shared" si="32"/>
        <v>1036200</v>
      </c>
      <c r="W58" s="212">
        <f t="shared" si="29"/>
        <v>16</v>
      </c>
      <c r="X58" s="173" t="str">
        <f t="shared" si="32"/>
        <v/>
      </c>
      <c r="Y58" s="212" t="str">
        <f>+IFERROR(IF(COUNT(X58),ROUND(SUM(X58)/SUM(L58)*100,2),""),0)</f>
        <v/>
      </c>
      <c r="Z58" s="171">
        <f t="shared" si="32"/>
        <v>4202300</v>
      </c>
      <c r="AR58" t="s">
        <v>219</v>
      </c>
    </row>
    <row r="59" spans="5:44" ht="37.5" customHeight="1">
      <c r="E59" s="460" t="s">
        <v>184</v>
      </c>
      <c r="F59" s="461"/>
      <c r="G59" s="461"/>
      <c r="H59" s="461"/>
      <c r="I59" s="461"/>
      <c r="J59" s="461"/>
      <c r="K59" s="461"/>
      <c r="L59" s="461"/>
      <c r="M59" s="462"/>
      <c r="N59" s="458"/>
      <c r="O59" s="459"/>
      <c r="P59" s="293"/>
      <c r="Q59" s="294"/>
      <c r="R59" s="294"/>
      <c r="S59" s="294"/>
      <c r="T59" s="294"/>
      <c r="U59" s="294"/>
      <c r="V59" s="294"/>
      <c r="W59" s="294"/>
      <c r="X59" s="446"/>
      <c r="Y59" s="446"/>
      <c r="Z59" s="447"/>
    </row>
    <row r="60" spans="5:44"/>
  </sheetData>
  <sheetProtection password="F884" sheet="1" objects="1" scenarios="1"/>
  <mergeCells count="36">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6">
    <dataValidation type="whole" operator="lessThanOrEqual" allowBlank="1" showInputMessage="1" showErrorMessage="1" sqref="V30:V38 V40 V43:V48 V54:V55">
      <formula1>I30</formula1>
    </dataValidation>
    <dataValidation type="whole" operator="lessThanOrEqual" allowBlank="1" showInputMessage="1" showErrorMessage="1" sqref="Z54:Z55 Z31:Z38">
      <formula1>I31</formula1>
    </dataValidation>
    <dataValidation type="whole" operator="lessThanOrEqual" allowBlank="1" showInputMessage="1" showErrorMessage="1" sqref="Z30 Z40 Z43:Z48">
      <formula1>L30</formula1>
    </dataValidation>
    <dataValidation type="whole" operator="greaterThanOrEqual" allowBlank="1" showInputMessage="1" showErrorMessage="1" sqref="N30:O38 N54:O55 I54:K55 R40:S40 R30:S38 I30:K38 N40:O40 R54:S55 I43:K48 I40:K40 R43:S48 N43:O43 N45:O48 N44 H48">
      <formula1>0</formula1>
    </dataValidation>
    <dataValidation type="whole" operator="greaterThan" allowBlank="1" showInputMessage="1" showErrorMessage="1" sqref="H54:H55 H40 H43:H47 H30:H38">
      <formula1>0</formula1>
    </dataValidation>
    <dataValidation operator="greaterThan" allowBlank="1" showInputMessage="1" showErrorMessage="1" sqref="H14:H17 H20:H24"/>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5:L47"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2"/>
  <sheetViews>
    <sheetView showGridLines="0" topLeftCell="D7" zoomScale="85" zoomScaleNormal="85" workbookViewId="0">
      <selection activeCell="F22" sqref="F2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customWidth="1"/>
    <col min="22" max="22" width="8.85546875" customWidth="1"/>
    <col min="23" max="23" width="15.42578125" hidden="1" customWidth="1"/>
    <col min="24" max="24" width="8.85546875" hidden="1" customWidth="1"/>
    <col min="25" max="25" width="15.42578125" customWidth="1"/>
    <col min="26" max="26" width="18" customWidth="1"/>
    <col min="27" max="27" width="2.85546875" customWidth="1"/>
    <col min="28" max="28" width="4.7109375" customWidth="1"/>
    <col min="29" max="16383" width="4.7109375" hidden="1"/>
    <col min="16384" max="16384" width="4.85546875" hidden="1" customWidth="1"/>
  </cols>
  <sheetData>
    <row r="1" spans="5:30" hidden="1">
      <c r="I1">
        <v>6</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t="9.75" hidden="1" customHeight="1"/>
    <row r="6" spans="5:30" ht="13.5" hidden="1" customHeight="1"/>
    <row r="9" spans="5:30" ht="29.25" customHeight="1">
      <c r="E9" s="438" t="s">
        <v>138</v>
      </c>
      <c r="F9" s="438" t="s">
        <v>137</v>
      </c>
      <c r="G9" s="464" t="s">
        <v>1</v>
      </c>
      <c r="H9" s="464" t="s">
        <v>3</v>
      </c>
      <c r="I9" s="464" t="s">
        <v>4</v>
      </c>
      <c r="J9" s="464" t="s">
        <v>5</v>
      </c>
      <c r="K9" s="464" t="s">
        <v>6</v>
      </c>
      <c r="L9" s="464" t="s">
        <v>7</v>
      </c>
      <c r="M9" s="493" t="s">
        <v>8</v>
      </c>
      <c r="N9" s="494"/>
      <c r="O9" s="494"/>
      <c r="P9" s="495"/>
      <c r="Q9" s="464" t="s">
        <v>9</v>
      </c>
      <c r="R9" s="464" t="s">
        <v>1064</v>
      </c>
      <c r="S9" s="464" t="s">
        <v>135</v>
      </c>
      <c r="T9" s="438" t="s">
        <v>144</v>
      </c>
      <c r="U9" s="475" t="s">
        <v>12</v>
      </c>
      <c r="V9" s="476"/>
      <c r="W9" s="475" t="s">
        <v>13</v>
      </c>
      <c r="X9" s="476"/>
      <c r="Y9" s="464" t="s">
        <v>14</v>
      </c>
      <c r="Z9" s="437" t="s">
        <v>1053</v>
      </c>
    </row>
    <row r="10" spans="5:30" ht="31.5" customHeight="1">
      <c r="E10" s="465"/>
      <c r="F10" s="491"/>
      <c r="G10" s="465"/>
      <c r="H10" s="465"/>
      <c r="I10" s="465"/>
      <c r="J10" s="465"/>
      <c r="K10" s="465"/>
      <c r="L10" s="465"/>
      <c r="M10" s="444" t="s">
        <v>136</v>
      </c>
      <c r="N10" s="482"/>
      <c r="O10" s="483"/>
      <c r="P10" s="464" t="s">
        <v>16</v>
      </c>
      <c r="Q10" s="465"/>
      <c r="R10" s="465"/>
      <c r="S10" s="465"/>
      <c r="T10" s="465"/>
      <c r="U10" s="479"/>
      <c r="V10" s="480"/>
      <c r="W10" s="479"/>
      <c r="X10" s="480"/>
      <c r="Y10" s="465"/>
      <c r="Z10" s="463"/>
    </row>
    <row r="11" spans="5:30" ht="78.75" customHeight="1">
      <c r="E11" s="466"/>
      <c r="F11" s="492"/>
      <c r="G11" s="466"/>
      <c r="H11" s="466"/>
      <c r="I11" s="466"/>
      <c r="J11" s="466"/>
      <c r="K11" s="466"/>
      <c r="L11" s="466"/>
      <c r="M11" s="36" t="s">
        <v>142</v>
      </c>
      <c r="N11" s="36" t="s">
        <v>18</v>
      </c>
      <c r="O11" s="35" t="s">
        <v>19</v>
      </c>
      <c r="P11" s="466"/>
      <c r="Q11" s="466"/>
      <c r="R11" s="466"/>
      <c r="S11" s="466"/>
      <c r="T11" s="466"/>
      <c r="U11" s="35" t="s">
        <v>20</v>
      </c>
      <c r="V11" s="35" t="s">
        <v>21</v>
      </c>
      <c r="W11" s="35" t="s">
        <v>20</v>
      </c>
      <c r="X11" s="35" t="s">
        <v>21</v>
      </c>
      <c r="Y11" s="466"/>
      <c r="Z11" s="463"/>
    </row>
    <row r="12" spans="5:30" ht="17.2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290"/>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SUM(AC1:AC65538)</f>
        <v>6</v>
      </c>
    </row>
    <row r="14" spans="5:30"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30" ht="24.75" customHeight="1">
      <c r="E15" s="221">
        <v>1</v>
      </c>
      <c r="F15" s="374" t="s">
        <v>1074</v>
      </c>
      <c r="G15" s="371" t="s">
        <v>1075</v>
      </c>
      <c r="H15" s="51">
        <v>766500</v>
      </c>
      <c r="I15" s="51"/>
      <c r="J15" s="51"/>
      <c r="K15" s="373">
        <f t="shared" ref="K15:K20" si="0">+IFERROR(IF(COUNT(H15:J15),ROUND(SUM(H15:J15),0),""),"")</f>
        <v>766500</v>
      </c>
      <c r="L15" s="55">
        <f>+IFERROR(IF(COUNT(K15),ROUND(K15/'Shareholding Pattern'!$L$57*100,2),""),"")</f>
        <v>11.84</v>
      </c>
      <c r="M15" s="233">
        <v>766500</v>
      </c>
      <c r="N15" s="233"/>
      <c r="O15" s="319">
        <f t="shared" ref="O15:O20" si="1">+IFERROR(IF(COUNT(M15:N15),ROUND(SUM(M15,N15),2),""),"")</f>
        <v>766500</v>
      </c>
      <c r="P15" s="55">
        <f>+IFERROR(IF(COUNT(O15),ROUND(O15/('Shareholding Pattern'!$P$58)*100,2),""),"")</f>
        <v>11.84</v>
      </c>
      <c r="Q15" s="51"/>
      <c r="R15" s="51"/>
      <c r="S15" s="373" t="str">
        <f t="shared" ref="S15:S20" si="2">+IFERROR(IF(COUNT(Q15:R15),ROUND(SUM(Q15:R15),0),""),"")</f>
        <v/>
      </c>
      <c r="T15" s="17">
        <f>+IFERROR(IF(COUNT(K15,S15),ROUND(SUM(S15,K15)/SUM('Shareholding Pattern'!$L$57,'Shareholding Pattern'!$T$57)*100,2),""),"")</f>
        <v>11.84</v>
      </c>
      <c r="U15" s="51">
        <v>766500</v>
      </c>
      <c r="V15" s="319">
        <f t="shared" ref="V15:V20" si="3">+IFERROR(IF(COUNT(U15),ROUND(SUM(U15)/SUM(K15)*100,2),""),0)</f>
        <v>100</v>
      </c>
      <c r="W15" s="51"/>
      <c r="X15" s="319" t="str">
        <f t="shared" ref="X15:X20" si="4">+IFERROR(IF(COUNT(W15),ROUND(SUM(W15)/SUM(K15)*100,2),""),0)</f>
        <v/>
      </c>
      <c r="Y15" s="51">
        <v>766500</v>
      </c>
      <c r="Z15" s="317"/>
      <c r="AA15" s="11"/>
      <c r="AB15" s="11"/>
      <c r="AC15" s="11">
        <f t="shared" ref="AC15:AC20" si="5">IF(SUM(H15:Y15)&gt;0,1,0)</f>
        <v>1</v>
      </c>
    </row>
    <row r="16" spans="5:30" ht="24.75" customHeight="1">
      <c r="E16" s="221">
        <v>2</v>
      </c>
      <c r="F16" s="374" t="s">
        <v>1076</v>
      </c>
      <c r="G16" s="371" t="s">
        <v>1077</v>
      </c>
      <c r="H16" s="51">
        <v>58100</v>
      </c>
      <c r="I16" s="51"/>
      <c r="J16" s="51"/>
      <c r="K16" s="373">
        <f t="shared" si="0"/>
        <v>58100</v>
      </c>
      <c r="L16" s="55">
        <f>+IFERROR(IF(COUNT(K16),ROUND(K16/'Shareholding Pattern'!$L$57*100,2),""),"")</f>
        <v>0.9</v>
      </c>
      <c r="M16" s="233">
        <v>58100</v>
      </c>
      <c r="N16" s="233"/>
      <c r="O16" s="319">
        <f t="shared" si="1"/>
        <v>58100</v>
      </c>
      <c r="P16" s="55">
        <f>+IFERROR(IF(COUNT(O16),ROUND(O16/('Shareholding Pattern'!$P$58)*100,2),""),"")</f>
        <v>0.9</v>
      </c>
      <c r="Q16" s="51"/>
      <c r="R16" s="51"/>
      <c r="S16" s="373" t="str">
        <f t="shared" si="2"/>
        <v/>
      </c>
      <c r="T16" s="17">
        <f>+IFERROR(IF(COUNT(K16,S16),ROUND(SUM(S16,K16)/SUM('Shareholding Pattern'!$L$57,'Shareholding Pattern'!$T$57)*100,2),""),"")</f>
        <v>0.9</v>
      </c>
      <c r="U16" s="51">
        <v>58100</v>
      </c>
      <c r="V16" s="319">
        <f t="shared" si="3"/>
        <v>100</v>
      </c>
      <c r="W16" s="51"/>
      <c r="X16" s="319" t="str">
        <f t="shared" si="4"/>
        <v/>
      </c>
      <c r="Y16" s="51">
        <v>58100</v>
      </c>
      <c r="Z16" s="317"/>
      <c r="AA16" s="11"/>
      <c r="AB16" s="11"/>
      <c r="AC16" s="11">
        <f t="shared" si="5"/>
        <v>1</v>
      </c>
    </row>
    <row r="17" spans="5:29" ht="24.75" customHeight="1">
      <c r="E17" s="221">
        <v>3</v>
      </c>
      <c r="F17" s="374" t="s">
        <v>1078</v>
      </c>
      <c r="G17" s="371" t="s">
        <v>1079</v>
      </c>
      <c r="H17" s="51">
        <v>55100</v>
      </c>
      <c r="I17" s="51"/>
      <c r="J17" s="51"/>
      <c r="K17" s="373">
        <f t="shared" si="0"/>
        <v>55100</v>
      </c>
      <c r="L17" s="55">
        <f>+IFERROR(IF(COUNT(K17),ROUND(K17/'Shareholding Pattern'!$L$57*100,2),""),"")</f>
        <v>0.85</v>
      </c>
      <c r="M17" s="233">
        <v>55100</v>
      </c>
      <c r="N17" s="233"/>
      <c r="O17" s="319">
        <f t="shared" si="1"/>
        <v>55100</v>
      </c>
      <c r="P17" s="55">
        <f>+IFERROR(IF(COUNT(O17),ROUND(O17/('Shareholding Pattern'!$P$58)*100,2),""),"")</f>
        <v>0.85</v>
      </c>
      <c r="Q17" s="51"/>
      <c r="R17" s="51"/>
      <c r="S17" s="373" t="str">
        <f t="shared" si="2"/>
        <v/>
      </c>
      <c r="T17" s="17">
        <f>+IFERROR(IF(COUNT(K17,S17),ROUND(SUM(S17,K17)/SUM('Shareholding Pattern'!$L$57,'Shareholding Pattern'!$T$57)*100,2),""),"")</f>
        <v>0.85</v>
      </c>
      <c r="U17" s="51">
        <v>55100</v>
      </c>
      <c r="V17" s="319">
        <f t="shared" si="3"/>
        <v>100</v>
      </c>
      <c r="W17" s="51"/>
      <c r="X17" s="319" t="str">
        <f t="shared" si="4"/>
        <v/>
      </c>
      <c r="Y17" s="51">
        <v>55100</v>
      </c>
      <c r="Z17" s="317"/>
      <c r="AA17" s="11"/>
      <c r="AB17" s="11"/>
      <c r="AC17" s="11">
        <f t="shared" si="5"/>
        <v>1</v>
      </c>
    </row>
    <row r="18" spans="5:29" ht="24.75" customHeight="1">
      <c r="E18" s="221">
        <v>4</v>
      </c>
      <c r="F18" s="374" t="s">
        <v>1080</v>
      </c>
      <c r="G18" s="371" t="s">
        <v>1081</v>
      </c>
      <c r="H18" s="51">
        <v>65000</v>
      </c>
      <c r="I18" s="51"/>
      <c r="J18" s="51"/>
      <c r="K18" s="373">
        <f t="shared" si="0"/>
        <v>65000</v>
      </c>
      <c r="L18" s="55">
        <f>+IFERROR(IF(COUNT(K18),ROUND(K18/'Shareholding Pattern'!$L$57*100,2),""),"")</f>
        <v>1</v>
      </c>
      <c r="M18" s="233">
        <v>65000</v>
      </c>
      <c r="N18" s="233"/>
      <c r="O18" s="319">
        <f t="shared" si="1"/>
        <v>65000</v>
      </c>
      <c r="P18" s="55">
        <f>+IFERROR(IF(COUNT(O18),ROUND(O18/('Shareholding Pattern'!$P$58)*100,2),""),"")</f>
        <v>1</v>
      </c>
      <c r="Q18" s="51"/>
      <c r="R18" s="51"/>
      <c r="S18" s="373" t="str">
        <f t="shared" si="2"/>
        <v/>
      </c>
      <c r="T18" s="17">
        <f>+IFERROR(IF(COUNT(K18,S18),ROUND(SUM(S18,K18)/SUM('Shareholding Pattern'!$L$57,'Shareholding Pattern'!$T$57)*100,2),""),"")</f>
        <v>1</v>
      </c>
      <c r="U18" s="51">
        <v>65000</v>
      </c>
      <c r="V18" s="319">
        <f t="shared" si="3"/>
        <v>100</v>
      </c>
      <c r="W18" s="51"/>
      <c r="X18" s="319" t="str">
        <f t="shared" si="4"/>
        <v/>
      </c>
      <c r="Y18" s="51">
        <v>65000</v>
      </c>
      <c r="Z18" s="317"/>
      <c r="AA18" s="11"/>
      <c r="AB18" s="11"/>
      <c r="AC18" s="11">
        <f t="shared" si="5"/>
        <v>1</v>
      </c>
    </row>
    <row r="19" spans="5:29" ht="24.75" customHeight="1">
      <c r="E19" s="221">
        <v>5</v>
      </c>
      <c r="F19" s="374" t="s">
        <v>1082</v>
      </c>
      <c r="G19" s="371" t="s">
        <v>1083</v>
      </c>
      <c r="H19" s="51">
        <v>30400</v>
      </c>
      <c r="I19" s="51"/>
      <c r="J19" s="51"/>
      <c r="K19" s="373">
        <f t="shared" si="0"/>
        <v>30400</v>
      </c>
      <c r="L19" s="55">
        <f>+IFERROR(IF(COUNT(K19),ROUND(K19/'Shareholding Pattern'!$L$57*100,2),""),"")</f>
        <v>0.47</v>
      </c>
      <c r="M19" s="233">
        <v>30400</v>
      </c>
      <c r="N19" s="233"/>
      <c r="O19" s="319">
        <f t="shared" si="1"/>
        <v>30400</v>
      </c>
      <c r="P19" s="55">
        <f>+IFERROR(IF(COUNT(O19),ROUND(O19/('Shareholding Pattern'!$P$58)*100,2),""),"")</f>
        <v>0.47</v>
      </c>
      <c r="Q19" s="51"/>
      <c r="R19" s="51"/>
      <c r="S19" s="373" t="str">
        <f t="shared" si="2"/>
        <v/>
      </c>
      <c r="T19" s="17">
        <f>+IFERROR(IF(COUNT(K19,S19),ROUND(SUM(S19,K19)/SUM('Shareholding Pattern'!$L$57,'Shareholding Pattern'!$T$57)*100,2),""),"")</f>
        <v>0.47</v>
      </c>
      <c r="U19" s="51">
        <v>30400</v>
      </c>
      <c r="V19" s="319">
        <f t="shared" si="3"/>
        <v>100</v>
      </c>
      <c r="W19" s="51"/>
      <c r="X19" s="319" t="str">
        <f t="shared" si="4"/>
        <v/>
      </c>
      <c r="Y19" s="51">
        <v>30400</v>
      </c>
      <c r="Z19" s="317"/>
      <c r="AA19" s="11"/>
      <c r="AB19" s="11"/>
      <c r="AC19" s="11">
        <f t="shared" si="5"/>
        <v>1</v>
      </c>
    </row>
    <row r="20" spans="5:29" ht="24.75" customHeight="1">
      <c r="E20" s="221">
        <v>6</v>
      </c>
      <c r="F20" s="374" t="s">
        <v>1084</v>
      </c>
      <c r="G20" s="371" t="s">
        <v>1085</v>
      </c>
      <c r="H20" s="51">
        <v>61100</v>
      </c>
      <c r="I20" s="51"/>
      <c r="J20" s="51"/>
      <c r="K20" s="373">
        <f t="shared" si="0"/>
        <v>61100</v>
      </c>
      <c r="L20" s="55">
        <f>+IFERROR(IF(COUNT(K20),ROUND(K20/'Shareholding Pattern'!$L$57*100,2),""),"")</f>
        <v>0.94</v>
      </c>
      <c r="M20" s="233">
        <v>61100</v>
      </c>
      <c r="N20" s="233"/>
      <c r="O20" s="319">
        <f t="shared" si="1"/>
        <v>61100</v>
      </c>
      <c r="P20" s="55">
        <f>+IFERROR(IF(COUNT(O20),ROUND(O20/('Shareholding Pattern'!$P$58)*100,2),""),"")</f>
        <v>0.94</v>
      </c>
      <c r="Q20" s="51"/>
      <c r="R20" s="51"/>
      <c r="S20" s="373" t="str">
        <f t="shared" si="2"/>
        <v/>
      </c>
      <c r="T20" s="17">
        <f>+IFERROR(IF(COUNT(K20,S20),ROUND(SUM(S20,K20)/SUM('Shareholding Pattern'!$L$57,'Shareholding Pattern'!$T$57)*100,2),""),"")</f>
        <v>0.94</v>
      </c>
      <c r="U20" s="51">
        <v>61100</v>
      </c>
      <c r="V20" s="319">
        <f t="shared" si="3"/>
        <v>100</v>
      </c>
      <c r="W20" s="51"/>
      <c r="X20" s="319" t="str">
        <f t="shared" si="4"/>
        <v/>
      </c>
      <c r="Y20" s="51">
        <v>61100</v>
      </c>
      <c r="Z20" s="317"/>
      <c r="AA20" s="11"/>
      <c r="AB20" s="11"/>
      <c r="AC20" s="11">
        <f t="shared" si="5"/>
        <v>1</v>
      </c>
    </row>
    <row r="21" spans="5:29" ht="16.5" hidden="1" customHeight="1">
      <c r="E21" s="222"/>
      <c r="F21" s="226"/>
      <c r="G21" s="226"/>
      <c r="H21" s="226"/>
      <c r="I21" s="226"/>
      <c r="J21" s="226"/>
      <c r="K21" s="226"/>
      <c r="L21" s="226"/>
      <c r="M21" s="226"/>
      <c r="N21" s="226"/>
      <c r="O21" s="226"/>
      <c r="P21" s="226"/>
      <c r="Q21" s="226"/>
      <c r="R21" s="226"/>
      <c r="S21" s="226"/>
      <c r="T21" s="226"/>
      <c r="U21" s="226"/>
      <c r="V21" s="226"/>
      <c r="W21" s="226"/>
      <c r="X21" s="226"/>
      <c r="Y21" s="227"/>
    </row>
    <row r="22" spans="5:29" ht="20.100000000000001" customHeight="1">
      <c r="E22" s="148"/>
      <c r="F22" s="71" t="s">
        <v>1002</v>
      </c>
      <c r="G22" s="71" t="s">
        <v>19</v>
      </c>
      <c r="H22" s="57">
        <f>+IFERROR(IF(COUNT(H14:H21),ROUND(SUM(H14:H21),0),""),"")</f>
        <v>1036200</v>
      </c>
      <c r="I22" s="57" t="str">
        <f>+IFERROR(IF(COUNT(I14:I21),ROUND(SUM(I14:I21),0),""),"")</f>
        <v/>
      </c>
      <c r="J22" s="57" t="str">
        <f>+IFERROR(IF(COUNT(J14:J21),ROUND(SUM(J14:J21),0),""),"")</f>
        <v/>
      </c>
      <c r="K22" s="57">
        <f>+IFERROR(IF(COUNT(K14:K21),ROUND(SUM(K14:K21),0),""),"")</f>
        <v>1036200</v>
      </c>
      <c r="L22" s="17">
        <f>+IFERROR(IF(COUNT(K22),ROUND(K22/'Shareholding Pattern'!$L$57*100,2),""),"")</f>
        <v>16</v>
      </c>
      <c r="M22" s="38">
        <f>+IFERROR(IF(COUNT(M14:M21),ROUND(SUM(M14:M21),0),""),"")</f>
        <v>1036200</v>
      </c>
      <c r="N22" s="38" t="str">
        <f>+IFERROR(IF(COUNT(N14:N21),ROUND(SUM(N14:N21),0),""),"")</f>
        <v/>
      </c>
      <c r="O22" s="38">
        <f>+IFERROR(IF(COUNT(O14:O21),ROUND(SUM(O14:O21),0),""),"")</f>
        <v>1036200</v>
      </c>
      <c r="P22" s="17">
        <f>+IFERROR(IF(COUNT(O22),ROUND(O22/('Shareholding Pattern'!$P$58)*100,2),""),"")</f>
        <v>16</v>
      </c>
      <c r="Q22" s="57" t="str">
        <f>+IFERROR(IF(COUNT(Q14:Q21),ROUND(SUM(Q14:Q21),0),""),"")</f>
        <v/>
      </c>
      <c r="R22" s="57" t="str">
        <f>+IFERROR(IF(COUNT(R14:R21),ROUND(SUM(R14:R21),0),""),"")</f>
        <v/>
      </c>
      <c r="S22" s="57" t="str">
        <f>+IFERROR(IF(COUNT(S14:S21),ROUND(SUM(S14:S21),0),""),"")</f>
        <v/>
      </c>
      <c r="T22" s="17">
        <f>+IFERROR(IF(COUNT(K22,S22),ROUND(SUM(S22,K22)/SUM('Shareholding Pattern'!$L$57,'Shareholding Pattern'!$T$57)*100,2),""),"")</f>
        <v>16</v>
      </c>
      <c r="U22" s="57">
        <f>+IFERROR(IF(COUNT(U14:U21),ROUND(SUM(U14:U21),0),""),"")</f>
        <v>1036200</v>
      </c>
      <c r="V22" s="17">
        <f>+IFERROR(IF(COUNT(U22),ROUND(SUM(U22)/SUM(K22)*100,2),""),0)</f>
        <v>100</v>
      </c>
      <c r="W22" s="57" t="str">
        <f>+IFERROR(IF(COUNT(W14:W21),ROUND(SUM(W14:W21),0),""),"")</f>
        <v/>
      </c>
      <c r="X22" s="17" t="str">
        <f>+IFERROR(IF(COUNT(W22),ROUND(SUM(W22)/SUM(K22)*100,2),""),0)</f>
        <v/>
      </c>
      <c r="Y22" s="57">
        <f>+IFERROR(IF(COUNT(Y14:Y21),ROUND(SUM(Y14:Y21),0),""),"")</f>
        <v>1036200</v>
      </c>
    </row>
  </sheetData>
  <sheetProtection password="F884" sheet="1" objects="1" scenarios="1"/>
  <mergeCells count="19">
    <mergeCell ref="E9:E11"/>
    <mergeCell ref="F9:F11"/>
    <mergeCell ref="G9:G11"/>
    <mergeCell ref="H9:H11"/>
    <mergeCell ref="Q9:Q11"/>
    <mergeCell ref="R9:R11"/>
    <mergeCell ref="I9:I11"/>
    <mergeCell ref="M10:O10"/>
    <mergeCell ref="P10:P11"/>
    <mergeCell ref="J9:J11"/>
    <mergeCell ref="K9:K11"/>
    <mergeCell ref="L9:L11"/>
    <mergeCell ref="M9:P9"/>
    <mergeCell ref="Z9:Z11"/>
    <mergeCell ref="S9:S11"/>
    <mergeCell ref="T9:T11"/>
    <mergeCell ref="U9:V10"/>
    <mergeCell ref="W9:X10"/>
    <mergeCell ref="Y9:Y11"/>
  </mergeCells>
  <dataValidations count="6">
    <dataValidation type="whole" operator="lessThanOrEqual" allowBlank="1" showInputMessage="1" showErrorMessage="1" sqref="W13 W15:W20">
      <formula1>H13</formula1>
    </dataValidation>
    <dataValidation type="whole" operator="lessThanOrEqual" allowBlank="1" showInputMessage="1" showErrorMessage="1" sqref="U13 U15:U20">
      <formula1>H13</formula1>
    </dataValidation>
    <dataValidation type="whole" operator="lessThanOrEqual" allowBlank="1" showInputMessage="1" showErrorMessage="1" sqref="Y13 Y15:Y20">
      <formula1>K13</formula1>
    </dataValidation>
    <dataValidation type="whole" operator="greaterThanOrEqual" allowBlank="1" showInputMessage="1" showErrorMessage="1" sqref="Q13:R13 N13 H13:J13 H15:J20 Q15:R20 N15:N20">
      <formula1>0</formula1>
    </dataValidation>
    <dataValidation type="textLength" operator="equal" allowBlank="1" showInputMessage="1" showErrorMessage="1" prompt="[A-Z][A-Z][A-Z][A-Z][A-Z][0-9][0-9][0-9][0-9][A-Z]&#10;&#10;In absence of PAN write : ZZZZZ9999Z" sqref="G13 G15:G20">
      <formula1>10</formula1>
    </dataValidation>
    <dataValidation operator="greaterThanOrEqual" allowBlank="1" showInputMessage="1" showErrorMessage="1" sqref="M13 M15:M20"/>
  </dataValidations>
  <hyperlinks>
    <hyperlink ref="G22" location="'Shareholding Pattern'!F14" display="Total"/>
    <hyperlink ref="F22"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A1:XFC16"/>
  <sheetViews>
    <sheetView showGridLines="0" topLeftCell="A7"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customWidth="1"/>
    <col min="22" max="22" width="9.42578125"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3" hidden="1"/>
    <col min="16384" max="16384" width="1.85546875" hidden="1"/>
  </cols>
  <sheetData>
    <row r="1" spans="5:30" hidden="1">
      <c r="I1">
        <v>0</v>
      </c>
      <c r="AD1">
        <f>SUM(AC1:AC65531)</f>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38" t="s">
        <v>143</v>
      </c>
      <c r="T9" s="463" t="s">
        <v>107</v>
      </c>
      <c r="U9" s="463" t="s">
        <v>12</v>
      </c>
      <c r="V9" s="463"/>
      <c r="W9" s="463" t="s">
        <v>13</v>
      </c>
      <c r="X9" s="463"/>
      <c r="Y9" s="463" t="s">
        <v>14</v>
      </c>
      <c r="Z9" s="437" t="s">
        <v>1053</v>
      </c>
    </row>
    <row r="10" spans="5:30"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Y10" s="463"/>
      <c r="Z10" s="463"/>
    </row>
    <row r="11" spans="5:30" ht="78.75" customHeight="1">
      <c r="E11" s="466"/>
      <c r="F11" s="463"/>
      <c r="G11" s="463"/>
      <c r="H11" s="463"/>
      <c r="I11" s="463"/>
      <c r="J11" s="463"/>
      <c r="K11" s="463"/>
      <c r="L11" s="463"/>
      <c r="M11" s="35" t="s">
        <v>17</v>
      </c>
      <c r="N11" s="35" t="s">
        <v>18</v>
      </c>
      <c r="O11" s="35" t="s">
        <v>19</v>
      </c>
      <c r="P11" s="463"/>
      <c r="Q11" s="463"/>
      <c r="R11" s="466"/>
      <c r="S11" s="466"/>
      <c r="T11" s="463"/>
      <c r="U11" s="35" t="s">
        <v>20</v>
      </c>
      <c r="V11" s="45" t="s">
        <v>21</v>
      </c>
      <c r="W11" s="35" t="s">
        <v>20</v>
      </c>
      <c r="X11" s="35" t="s">
        <v>21</v>
      </c>
      <c r="Y11" s="463"/>
      <c r="Z11" s="463"/>
    </row>
    <row r="12" spans="5:30" s="337" customFormat="1" ht="15.75">
      <c r="E12" s="9" t="s">
        <v>80</v>
      </c>
      <c r="F12" s="496" t="s">
        <v>29</v>
      </c>
      <c r="G12" s="497"/>
      <c r="H12" s="338"/>
      <c r="I12" s="338"/>
      <c r="J12" s="338"/>
      <c r="K12" s="338"/>
      <c r="L12" s="338"/>
      <c r="M12" s="338"/>
      <c r="N12" s="338"/>
      <c r="O12" s="338"/>
      <c r="P12" s="338"/>
      <c r="Q12" s="338"/>
      <c r="R12" s="338"/>
      <c r="S12" s="338"/>
      <c r="T12" s="338"/>
      <c r="U12" s="338"/>
      <c r="V12" s="338"/>
      <c r="W12" s="338"/>
      <c r="X12" s="338"/>
      <c r="Y12" s="338"/>
      <c r="Z12" s="339"/>
    </row>
    <row r="13" spans="5:30" s="346" customFormat="1" hidden="1">
      <c r="E13" s="347"/>
      <c r="F13" s="342"/>
      <c r="G13" s="343"/>
      <c r="H13" s="344"/>
      <c r="I13" s="345"/>
      <c r="J13" s="345"/>
      <c r="K13" s="348" t="str">
        <f>+IFERROR(IF(COUNT(H13:J13),ROUND(SUM(H13:J13),0),""),"")</f>
        <v/>
      </c>
      <c r="L13" s="349" t="str">
        <f>+IFERROR(IF(COUNT(K13),ROUND(K13/'Shareholding Pattern'!$L$57*100,2),""),"")</f>
        <v/>
      </c>
      <c r="M13" s="350" t="str">
        <f>IF(H13="","",H13)</f>
        <v/>
      </c>
      <c r="N13" s="351"/>
      <c r="O13" s="352" t="str">
        <f>+IFERROR(IF(COUNT(M13:N13),ROUND(SUM(M13,N13),2),""),"")</f>
        <v/>
      </c>
      <c r="P13" s="349" t="str">
        <f>+IFERROR(IF(COUNT(O13),ROUND(O13/('Shareholding Pattern'!$P$58)*100,2),""),"")</f>
        <v/>
      </c>
      <c r="Q13" s="345"/>
      <c r="R13" s="345"/>
      <c r="S13" s="353" t="str">
        <f>+IFERROR(IF(COUNT(Q13:R13),ROUND(SUM(Q13:R13),0),""),"")</f>
        <v/>
      </c>
      <c r="T13" s="349" t="str">
        <f>+IFERROR(IF(COUNT(K13,S13),ROUND(SUM(S13,K13)/SUM('Shareholding Pattern'!$L$57,'Shareholding Pattern'!$T$57)*100,2),""),"")</f>
        <v/>
      </c>
      <c r="U13" s="345"/>
      <c r="V13" s="349" t="str">
        <f>+IFERROR(IF(COUNT(U13),ROUND(SUM(U13)/SUM(K13)*100,2),""),0)</f>
        <v/>
      </c>
      <c r="W13" s="345"/>
      <c r="X13" s="349" t="str">
        <f>+IFERROR(IF(COUNT(W13),ROUND(SUM(W13)/SUM(K13)*100,2),""),0)</f>
        <v/>
      </c>
      <c r="Y13" s="344"/>
      <c r="Z13" s="354"/>
      <c r="AC13" s="346">
        <f>IF(SUM(H13:Y13)&gt;0,1,0)</f>
        <v>0</v>
      </c>
      <c r="AD13" s="346">
        <f>SUM(AC1:AC65535)</f>
        <v>0</v>
      </c>
    </row>
    <row r="14" spans="5:30" s="337" customFormat="1" ht="25.5" customHeight="1">
      <c r="E14" s="334"/>
      <c r="F14" s="335"/>
      <c r="G14" s="335"/>
      <c r="H14" s="335"/>
      <c r="I14" s="335"/>
      <c r="J14" s="335"/>
      <c r="K14" s="335"/>
      <c r="L14" s="335"/>
      <c r="M14" s="335"/>
      <c r="N14" s="335"/>
      <c r="O14" s="335"/>
      <c r="P14" s="335"/>
      <c r="Q14" s="335"/>
      <c r="R14" s="335"/>
      <c r="S14" s="335"/>
      <c r="T14" s="335"/>
      <c r="U14" s="335"/>
      <c r="V14" s="335"/>
      <c r="W14" s="335"/>
      <c r="X14" s="335"/>
      <c r="Y14" s="335"/>
      <c r="Z14" s="336"/>
    </row>
    <row r="15" spans="5:30"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30"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f>
        <v/>
      </c>
      <c r="M16" s="38" t="str">
        <f>+IFERROR(IF(COUNT(M14:M15),ROUND(SUM(M14:M15),0),""),"")</f>
        <v/>
      </c>
      <c r="N16" s="38" t="str">
        <f>+IFERROR(IF(COUNT(N14:N15),ROUND(SUM(N14:N15),0),""),"")</f>
        <v/>
      </c>
      <c r="O16" s="55" t="str">
        <f>+IFERROR(IF(COUNT(M16:N16),ROUND(SUM(M16,N16),2),""),"")</f>
        <v/>
      </c>
      <c r="P16" s="17" t="str">
        <f>+IFERROR(IF(COUNT(O16),ROUND(O16/('Shareholding Pattern'!$P$58)*100,2),""),"")</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20">
    <mergeCell ref="E9:E11"/>
    <mergeCell ref="F9:F11"/>
    <mergeCell ref="G9:G11"/>
    <mergeCell ref="H9:H11"/>
    <mergeCell ref="I9:I11"/>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decimal" operator="lessThanOrEqual" allowBlank="1" showInputMessage="1" showErrorMessage="1" sqref="L13">
      <formula1>1</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customWidth="1"/>
    <col min="22" max="22" width="8.5703125" customWidth="1"/>
    <col min="23" max="23" width="15.42578125" hidden="1" customWidth="1"/>
    <col min="24" max="24" width="7.85546875" hidden="1" customWidth="1"/>
    <col min="25" max="25" width="15.42578125" customWidth="1"/>
    <col min="26" max="26" width="18" customWidth="1"/>
    <col min="27" max="27" width="4.28515625" customWidth="1"/>
    <col min="28" max="28" width="4.140625" customWidth="1"/>
    <col min="29" max="16383" width="13.5703125" hidden="1"/>
    <col min="16384" max="16384" width="1.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c r="AR7" t="s">
        <v>927</v>
      </c>
    </row>
    <row r="8" spans="5:44">
      <c r="AR8" t="s">
        <v>928</v>
      </c>
    </row>
    <row r="9" spans="5:44" ht="29.25" customHeight="1">
      <c r="E9" s="464" t="s">
        <v>138</v>
      </c>
      <c r="F9" s="463" t="s">
        <v>137</v>
      </c>
      <c r="G9" s="463" t="s">
        <v>1</v>
      </c>
      <c r="H9" s="463" t="s">
        <v>3</v>
      </c>
      <c r="I9" s="463" t="s">
        <v>4</v>
      </c>
      <c r="J9" s="463" t="s">
        <v>5</v>
      </c>
      <c r="K9" s="463" t="s">
        <v>6</v>
      </c>
      <c r="L9" s="463" t="s">
        <v>7</v>
      </c>
      <c r="M9" s="463" t="s">
        <v>8</v>
      </c>
      <c r="N9" s="463"/>
      <c r="O9" s="463"/>
      <c r="P9" s="463"/>
      <c r="Q9" s="463" t="s">
        <v>9</v>
      </c>
      <c r="R9" s="464" t="s">
        <v>1064</v>
      </c>
      <c r="S9" s="464" t="s">
        <v>135</v>
      </c>
      <c r="T9" s="463" t="s">
        <v>107</v>
      </c>
      <c r="U9" s="463" t="s">
        <v>12</v>
      </c>
      <c r="V9" s="463"/>
      <c r="W9" s="463" t="s">
        <v>13</v>
      </c>
      <c r="X9" s="463"/>
      <c r="Y9" s="463" t="s">
        <v>14</v>
      </c>
      <c r="Z9" s="437" t="s">
        <v>1053</v>
      </c>
      <c r="AR9" t="s">
        <v>929</v>
      </c>
    </row>
    <row r="10" spans="5:44" ht="31.5" customHeight="1">
      <c r="E10" s="465"/>
      <c r="F10" s="463"/>
      <c r="G10" s="463"/>
      <c r="H10" s="463"/>
      <c r="I10" s="463"/>
      <c r="J10" s="463"/>
      <c r="K10" s="463"/>
      <c r="L10" s="463"/>
      <c r="M10" s="463" t="s">
        <v>15</v>
      </c>
      <c r="N10" s="463"/>
      <c r="O10" s="463"/>
      <c r="P10" s="463" t="s">
        <v>16</v>
      </c>
      <c r="Q10" s="463"/>
      <c r="R10" s="465"/>
      <c r="S10" s="465"/>
      <c r="T10" s="463"/>
      <c r="U10" s="463"/>
      <c r="V10" s="463"/>
      <c r="W10" s="463"/>
      <c r="X10" s="463"/>
      <c r="Y10" s="463"/>
      <c r="Z10" s="463"/>
      <c r="AR10" t="s">
        <v>930</v>
      </c>
    </row>
    <row r="11" spans="5:44" ht="78.75" customHeight="1">
      <c r="E11" s="466"/>
      <c r="F11" s="463"/>
      <c r="G11" s="463"/>
      <c r="H11" s="463"/>
      <c r="I11" s="463"/>
      <c r="J11" s="463"/>
      <c r="K11" s="463"/>
      <c r="L11" s="463"/>
      <c r="M11" s="44" t="s">
        <v>17</v>
      </c>
      <c r="N11" s="44" t="s">
        <v>18</v>
      </c>
      <c r="O11" s="44" t="s">
        <v>19</v>
      </c>
      <c r="P11" s="463"/>
      <c r="Q11" s="463"/>
      <c r="R11" s="466"/>
      <c r="S11" s="466"/>
      <c r="T11" s="463"/>
      <c r="U11" s="44" t="s">
        <v>20</v>
      </c>
      <c r="V11" s="44" t="s">
        <v>21</v>
      </c>
      <c r="W11" s="44" t="s">
        <v>20</v>
      </c>
      <c r="X11" s="44" t="s">
        <v>21</v>
      </c>
      <c r="Y11" s="463"/>
      <c r="Z11" s="463"/>
      <c r="AR11" t="s">
        <v>931</v>
      </c>
    </row>
    <row r="12" spans="5:44" ht="24.75"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10"/>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6"/>
      <c r="AC13" s="11">
        <f>IF(SUM(H13:Y13)&gt;0,1,0)</f>
        <v>0</v>
      </c>
      <c r="AD13" s="11">
        <f>SUM(AC1:AC65535)</f>
        <v>0</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K9:K11"/>
    <mergeCell ref="L9:L11"/>
    <mergeCell ref="M9:P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ADMIN</cp:lastModifiedBy>
  <cp:lastPrinted>2016-09-08T06:44:45Z</cp:lastPrinted>
  <dcterms:created xsi:type="dcterms:W3CDTF">2015-12-16T12:56:50Z</dcterms:created>
  <dcterms:modified xsi:type="dcterms:W3CDTF">2017-08-14T07:59:49Z</dcterms:modified>
</cp:coreProperties>
</file>